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11700" tabRatio="936" activeTab="2"/>
  </bookViews>
  <sheets>
    <sheet name="支出调整汇总" sheetId="32" r:id="rId1"/>
    <sheet name="一般收支平衡表" sheetId="8" r:id="rId2"/>
    <sheet name="基金收支平衡表" sheetId="13" r:id="rId3"/>
  </sheets>
  <definedNames>
    <definedName name="_xlnm.Print_Area" localSheetId="2">基金收支平衡表!$A$1:$V$23</definedName>
    <definedName name="_xlnm.Print_Area" localSheetId="1">一般收支平衡表!$A$1:$V$35</definedName>
    <definedName name="_xlnm.Print_Area" localSheetId="0">支出调整汇总!$A$1:$M$31</definedName>
    <definedName name="_xlnm.Print_Titles" localSheetId="1">一般收支平衡表!$1:$5</definedName>
    <definedName name="_xlnm.Print_Titles" localSheetId="0">支出调整汇总!$4:$5</definedName>
  </definedNames>
  <calcPr calcId="125725"/>
</workbook>
</file>

<file path=xl/calcChain.xml><?xml version="1.0" encoding="utf-8"?>
<calcChain xmlns="http://schemas.openxmlformats.org/spreadsheetml/2006/main">
  <c r="X9" i="8"/>
  <c r="X7"/>
  <c r="X8"/>
  <c r="R7" i="13"/>
  <c r="G8"/>
  <c r="G7" l="1"/>
  <c r="K7" l="1"/>
  <c r="G9" i="8"/>
  <c r="K9" s="1"/>
  <c r="G10"/>
  <c r="K10" s="1"/>
  <c r="V25"/>
  <c r="V23"/>
  <c r="U25"/>
  <c r="K31"/>
  <c r="K30"/>
  <c r="K29"/>
  <c r="K28"/>
  <c r="K27"/>
  <c r="K26"/>
  <c r="K25"/>
  <c r="K24"/>
  <c r="K23"/>
  <c r="K22"/>
  <c r="K18"/>
  <c r="K17"/>
  <c r="K16"/>
  <c r="I31"/>
  <c r="I30"/>
  <c r="I29"/>
  <c r="I28"/>
  <c r="I27"/>
  <c r="I26"/>
  <c r="I25"/>
  <c r="I24"/>
  <c r="I23"/>
  <c r="I22"/>
  <c r="I18"/>
  <c r="I17"/>
  <c r="I16"/>
  <c r="I15"/>
  <c r="I11"/>
  <c r="J23"/>
  <c r="J22"/>
  <c r="J18"/>
  <c r="J17"/>
  <c r="J16"/>
  <c r="J9"/>
  <c r="V15" i="13"/>
  <c r="V13"/>
  <c r="V12"/>
  <c r="V10"/>
  <c r="V9"/>
  <c r="V8"/>
  <c r="U10"/>
  <c r="U9"/>
  <c r="U8"/>
  <c r="K20"/>
  <c r="K16"/>
  <c r="K14"/>
  <c r="K9"/>
  <c r="K8"/>
  <c r="J20"/>
  <c r="J9"/>
  <c r="J8"/>
  <c r="R14" i="8"/>
  <c r="I9" l="1"/>
  <c r="J10"/>
  <c r="I10"/>
  <c r="J7" i="13"/>
  <c r="R19" i="8"/>
  <c r="H10" i="32"/>
  <c r="R12" i="8"/>
  <c r="G7" i="32"/>
  <c r="V12" i="8" l="1"/>
  <c r="U12"/>
  <c r="R16" i="13"/>
  <c r="F14" i="32"/>
  <c r="F27"/>
  <c r="F28"/>
  <c r="F30"/>
  <c r="F31"/>
  <c r="G11" i="13"/>
  <c r="G18"/>
  <c r="G15"/>
  <c r="G14" i="8"/>
  <c r="G13"/>
  <c r="G12" i="13"/>
  <c r="G10"/>
  <c r="R21" i="8"/>
  <c r="T26"/>
  <c r="T25"/>
  <c r="T23"/>
  <c r="S23"/>
  <c r="Q17"/>
  <c r="Q16"/>
  <c r="R16" s="1"/>
  <c r="J11" i="13" l="1"/>
  <c r="K11"/>
  <c r="J12"/>
  <c r="K12"/>
  <c r="K10"/>
  <c r="J10"/>
  <c r="J15"/>
  <c r="K15"/>
  <c r="R6"/>
  <c r="G17"/>
  <c r="I13" i="8"/>
  <c r="I14"/>
  <c r="G6" i="13"/>
  <c r="R14"/>
  <c r="R19"/>
  <c r="V14" l="1"/>
  <c r="U14"/>
  <c r="R21"/>
  <c r="G21"/>
  <c r="G22"/>
  <c r="R17" i="8" l="1"/>
  <c r="T14"/>
  <c r="T12"/>
  <c r="G21"/>
  <c r="R22"/>
  <c r="P22"/>
  <c r="T19" i="13"/>
  <c r="T15"/>
  <c r="T13"/>
  <c r="T12"/>
  <c r="T10"/>
  <c r="T9"/>
  <c r="T8"/>
  <c r="I20"/>
  <c r="I19"/>
  <c r="I16"/>
  <c r="I15"/>
  <c r="I14"/>
  <c r="I13"/>
  <c r="I12"/>
  <c r="I11"/>
  <c r="I10"/>
  <c r="I9"/>
  <c r="I8"/>
  <c r="I7"/>
  <c r="S13"/>
  <c r="S12"/>
  <c r="S10"/>
  <c r="S9"/>
  <c r="H15"/>
  <c r="H14"/>
  <c r="H13"/>
  <c r="H12"/>
  <c r="H11"/>
  <c r="H10"/>
  <c r="H9"/>
  <c r="H8"/>
  <c r="H7"/>
  <c r="S26" i="8"/>
  <c r="S25"/>
  <c r="S12"/>
  <c r="H18"/>
  <c r="H17"/>
  <c r="H16"/>
  <c r="H14"/>
  <c r="H13"/>
  <c r="H11"/>
  <c r="H10"/>
  <c r="G8"/>
  <c r="G7"/>
  <c r="R28"/>
  <c r="R24"/>
  <c r="G12"/>
  <c r="J7" l="1"/>
  <c r="K7"/>
  <c r="I7"/>
  <c r="T28"/>
  <c r="I21"/>
  <c r="V17"/>
  <c r="U17"/>
  <c r="V24"/>
  <c r="U24"/>
  <c r="G20"/>
  <c r="H7"/>
  <c r="G6"/>
  <c r="S14"/>
  <c r="R15"/>
  <c r="H9"/>
  <c r="R30"/>
  <c r="G19" l="1"/>
  <c r="G33" s="1"/>
  <c r="G32"/>
  <c r="T30"/>
  <c r="F20" l="1"/>
  <c r="F18" i="13"/>
  <c r="Q19" s="1"/>
  <c r="Q30" i="8" l="1"/>
  <c r="Q28"/>
  <c r="Q11" i="13"/>
  <c r="R11" s="1"/>
  <c r="R18" l="1"/>
  <c r="R20"/>
  <c r="Q11" i="8"/>
  <c r="R11" s="1"/>
  <c r="Q10"/>
  <c r="R10" s="1"/>
  <c r="Q9"/>
  <c r="R9" s="1"/>
  <c r="Q13"/>
  <c r="R13" s="1"/>
  <c r="V9" l="1"/>
  <c r="U9"/>
  <c r="V11"/>
  <c r="U11"/>
  <c r="V13"/>
  <c r="U13"/>
  <c r="V10"/>
  <c r="U10"/>
  <c r="T9"/>
  <c r="S9"/>
  <c r="R8"/>
  <c r="S11"/>
  <c r="T11"/>
  <c r="T10"/>
  <c r="S10"/>
  <c r="R17" i="13"/>
  <c r="T18"/>
  <c r="Q6"/>
  <c r="F17"/>
  <c r="F15"/>
  <c r="F6"/>
  <c r="F21" s="1"/>
  <c r="Q24" i="8"/>
  <c r="Q20" s="1"/>
  <c r="Q15"/>
  <c r="Q8"/>
  <c r="Q7" s="1"/>
  <c r="F19"/>
  <c r="F12"/>
  <c r="F8"/>
  <c r="F6" s="1"/>
  <c r="H29" i="32"/>
  <c r="F29" s="1"/>
  <c r="H13"/>
  <c r="H9"/>
  <c r="H7"/>
  <c r="F7" s="1"/>
  <c r="H12"/>
  <c r="R22" i="13" l="1"/>
  <c r="G23" s="1"/>
  <c r="R7" i="8"/>
  <c r="Q18"/>
  <c r="R20"/>
  <c r="Q29"/>
  <c r="Q27" s="1"/>
  <c r="T17" i="13"/>
  <c r="Q18"/>
  <c r="Q17" s="1"/>
  <c r="Q22" s="1"/>
  <c r="Q20"/>
  <c r="Q6" i="8"/>
  <c r="Q21" i="13"/>
  <c r="F22"/>
  <c r="F32" i="8"/>
  <c r="F33"/>
  <c r="R23" i="13" l="1"/>
  <c r="R29" i="8"/>
  <c r="R18"/>
  <c r="R6"/>
  <c r="Q32"/>
  <c r="Q31"/>
  <c r="F23" i="13"/>
  <c r="Q23" s="1"/>
  <c r="F35" i="8" s="1"/>
  <c r="Q33"/>
  <c r="Q34" s="1"/>
  <c r="G35" l="1"/>
  <c r="R32"/>
  <c r="R31"/>
  <c r="T29"/>
  <c r="R27"/>
  <c r="Q35"/>
  <c r="F34" s="1"/>
  <c r="R33" l="1"/>
  <c r="R34" s="1"/>
  <c r="R35" s="1"/>
  <c r="R38"/>
  <c r="G26" i="32"/>
  <c r="F26" s="1"/>
  <c r="G25"/>
  <c r="F25" s="1"/>
  <c r="G24"/>
  <c r="F24" s="1"/>
  <c r="G23"/>
  <c r="F23" s="1"/>
  <c r="G22"/>
  <c r="F22" s="1"/>
  <c r="I22" s="1"/>
  <c r="G21"/>
  <c r="F21" s="1"/>
  <c r="G20"/>
  <c r="F20" s="1"/>
  <c r="G19"/>
  <c r="F19" s="1"/>
  <c r="G18"/>
  <c r="F18" s="1"/>
  <c r="G17"/>
  <c r="F17" s="1"/>
  <c r="G16"/>
  <c r="F16" s="1"/>
  <c r="G15"/>
  <c r="F15" s="1"/>
  <c r="G13"/>
  <c r="F13" s="1"/>
  <c r="G12"/>
  <c r="F12" s="1"/>
  <c r="G11"/>
  <c r="F11" s="1"/>
  <c r="G10"/>
  <c r="F10" s="1"/>
  <c r="G9"/>
  <c r="F9" s="1"/>
  <c r="G8"/>
  <c r="F8" s="1"/>
  <c r="F6" l="1"/>
  <c r="K22"/>
  <c r="J22" s="1"/>
  <c r="L22"/>
  <c r="E7"/>
  <c r="E22"/>
  <c r="I31" l="1"/>
  <c r="E31"/>
  <c r="I30"/>
  <c r="L30" s="1"/>
  <c r="E30"/>
  <c r="E29"/>
  <c r="E28"/>
  <c r="E26"/>
  <c r="E25"/>
  <c r="E24"/>
  <c r="E23"/>
  <c r="E21"/>
  <c r="E20"/>
  <c r="E19"/>
  <c r="E18"/>
  <c r="E17"/>
  <c r="E16"/>
  <c r="E15"/>
  <c r="E13"/>
  <c r="E12"/>
  <c r="E11"/>
  <c r="E10"/>
  <c r="E9"/>
  <c r="E8"/>
  <c r="D6"/>
  <c r="C6"/>
  <c r="I15" l="1"/>
  <c r="I18"/>
  <c r="K31"/>
  <c r="L31"/>
  <c r="I16"/>
  <c r="H6"/>
  <c r="E6"/>
  <c r="I11"/>
  <c r="I13"/>
  <c r="I7"/>
  <c r="I19"/>
  <c r="I21"/>
  <c r="I24"/>
  <c r="I26"/>
  <c r="I10"/>
  <c r="I12"/>
  <c r="I8"/>
  <c r="I20"/>
  <c r="I23"/>
  <c r="I25"/>
  <c r="G6"/>
  <c r="I29"/>
  <c r="K30"/>
  <c r="J30" s="1"/>
  <c r="I17"/>
  <c r="I28"/>
  <c r="E15" i="13"/>
  <c r="P14" s="1"/>
  <c r="E17"/>
  <c r="P11"/>
  <c r="P7"/>
  <c r="P6" s="1"/>
  <c r="E6"/>
  <c r="P27" i="8"/>
  <c r="P24"/>
  <c r="P20"/>
  <c r="P19"/>
  <c r="P17"/>
  <c r="P16"/>
  <c r="P13"/>
  <c r="P8"/>
  <c r="E19"/>
  <c r="E12"/>
  <c r="E8"/>
  <c r="E6" s="1"/>
  <c r="E33" l="1"/>
  <c r="L25" i="32"/>
  <c r="K25"/>
  <c r="L20"/>
  <c r="K20"/>
  <c r="K12"/>
  <c r="L12"/>
  <c r="K26"/>
  <c r="L26"/>
  <c r="L21"/>
  <c r="K21"/>
  <c r="K13"/>
  <c r="L13"/>
  <c r="K17"/>
  <c r="L17"/>
  <c r="I9"/>
  <c r="I6" s="1"/>
  <c r="L23"/>
  <c r="K23"/>
  <c r="K16"/>
  <c r="L16"/>
  <c r="K15"/>
  <c r="L15"/>
  <c r="K10"/>
  <c r="L10"/>
  <c r="L24"/>
  <c r="K24"/>
  <c r="L19"/>
  <c r="K19"/>
  <c r="L7"/>
  <c r="K7"/>
  <c r="K11"/>
  <c r="L11"/>
  <c r="K29"/>
  <c r="L29"/>
  <c r="L8"/>
  <c r="K8"/>
  <c r="K28"/>
  <c r="L28"/>
  <c r="L18"/>
  <c r="K18"/>
  <c r="E22" i="13"/>
  <c r="E21"/>
  <c r="P21"/>
  <c r="E32" i="8"/>
  <c r="P18"/>
  <c r="P7"/>
  <c r="P15"/>
  <c r="P21"/>
  <c r="P16" i="13"/>
  <c r="P22" s="1"/>
  <c r="J13" i="32" l="1"/>
  <c r="J11"/>
  <c r="J10"/>
  <c r="J16"/>
  <c r="J25"/>
  <c r="J21"/>
  <c r="J24"/>
  <c r="J23"/>
  <c r="J28"/>
  <c r="J7"/>
  <c r="J19"/>
  <c r="J20"/>
  <c r="J18"/>
  <c r="J8"/>
  <c r="J15"/>
  <c r="J17"/>
  <c r="J12"/>
  <c r="K9"/>
  <c r="L9"/>
  <c r="L6" s="1"/>
  <c r="P20" i="13"/>
  <c r="E23"/>
  <c r="P6" i="8"/>
  <c r="J9" i="32" l="1"/>
  <c r="K6"/>
  <c r="J6" s="1"/>
  <c r="P31" i="8"/>
  <c r="P33"/>
  <c r="P32"/>
  <c r="P23" i="13"/>
  <c r="E35" i="8" s="1"/>
  <c r="O17"/>
  <c r="N21"/>
  <c r="N20"/>
  <c r="C19" i="13"/>
  <c r="C18"/>
  <c r="B17"/>
  <c r="M16" s="1"/>
  <c r="M19" s="1"/>
  <c r="N16"/>
  <c r="O14"/>
  <c r="M14"/>
  <c r="C13"/>
  <c r="O11"/>
  <c r="N11"/>
  <c r="M11"/>
  <c r="M18" s="1"/>
  <c r="O7"/>
  <c r="N7"/>
  <c r="M7"/>
  <c r="M6" s="1"/>
  <c r="D6"/>
  <c r="C6"/>
  <c r="B6"/>
  <c r="O27" i="8"/>
  <c r="N26"/>
  <c r="M26"/>
  <c r="O24"/>
  <c r="M24"/>
  <c r="O22"/>
  <c r="N22"/>
  <c r="M22"/>
  <c r="C21"/>
  <c r="O20"/>
  <c r="M20"/>
  <c r="M29" s="1"/>
  <c r="C20"/>
  <c r="O19"/>
  <c r="N19"/>
  <c r="M19"/>
  <c r="M28" s="1"/>
  <c r="B19"/>
  <c r="M21" s="1"/>
  <c r="M30" s="1"/>
  <c r="M17"/>
  <c r="O16"/>
  <c r="N16"/>
  <c r="M16"/>
  <c r="C15"/>
  <c r="N14"/>
  <c r="M14"/>
  <c r="C14"/>
  <c r="O13"/>
  <c r="C13"/>
  <c r="D12"/>
  <c r="I12" s="1"/>
  <c r="B12"/>
  <c r="C11"/>
  <c r="B11"/>
  <c r="B10"/>
  <c r="B8" s="1"/>
  <c r="B6" s="1"/>
  <c r="O8"/>
  <c r="N8"/>
  <c r="M8"/>
  <c r="D8"/>
  <c r="I8" s="1"/>
  <c r="C8"/>
  <c r="J19" i="13" l="1"/>
  <c r="K19"/>
  <c r="N6"/>
  <c r="N20" s="1"/>
  <c r="U7"/>
  <c r="V7"/>
  <c r="V16"/>
  <c r="U16"/>
  <c r="V11"/>
  <c r="U11"/>
  <c r="J18"/>
  <c r="K18"/>
  <c r="K6"/>
  <c r="J6"/>
  <c r="J13"/>
  <c r="K13"/>
  <c r="C6" i="8"/>
  <c r="J8"/>
  <c r="K8"/>
  <c r="K14"/>
  <c r="J14"/>
  <c r="J20"/>
  <c r="K20"/>
  <c r="U20"/>
  <c r="V20"/>
  <c r="J11"/>
  <c r="K11"/>
  <c r="J15"/>
  <c r="K15"/>
  <c r="K21"/>
  <c r="J21"/>
  <c r="U8"/>
  <c r="V8"/>
  <c r="K13"/>
  <c r="J13"/>
  <c r="V14"/>
  <c r="U14"/>
  <c r="V19"/>
  <c r="U19"/>
  <c r="U26"/>
  <c r="V26"/>
  <c r="N15"/>
  <c r="U16"/>
  <c r="V16"/>
  <c r="U22"/>
  <c r="V22"/>
  <c r="V21"/>
  <c r="U21"/>
  <c r="S8"/>
  <c r="T8"/>
  <c r="T24"/>
  <c r="S24"/>
  <c r="T19"/>
  <c r="S19"/>
  <c r="T27"/>
  <c r="S13"/>
  <c r="T13"/>
  <c r="T16"/>
  <c r="S16"/>
  <c r="T22"/>
  <c r="S22"/>
  <c r="S20"/>
  <c r="T20"/>
  <c r="S17"/>
  <c r="T17"/>
  <c r="H8"/>
  <c r="H12"/>
  <c r="O6" i="13"/>
  <c r="O21" s="1"/>
  <c r="T7"/>
  <c r="S7"/>
  <c r="T11"/>
  <c r="S11"/>
  <c r="I6"/>
  <c r="H6"/>
  <c r="T14"/>
  <c r="S14"/>
  <c r="B22"/>
  <c r="C17"/>
  <c r="N18"/>
  <c r="N18" i="8"/>
  <c r="N29"/>
  <c r="D21" i="13"/>
  <c r="N19"/>
  <c r="C19" i="8"/>
  <c r="M15"/>
  <c r="M7"/>
  <c r="M18"/>
  <c r="N7"/>
  <c r="N28"/>
  <c r="N30"/>
  <c r="M27"/>
  <c r="C12"/>
  <c r="P34"/>
  <c r="B33"/>
  <c r="B32"/>
  <c r="N21" i="13"/>
  <c r="M17"/>
  <c r="M22" s="1"/>
  <c r="B23" s="1"/>
  <c r="M23" s="1"/>
  <c r="D6" i="8"/>
  <c r="O18"/>
  <c r="C21" i="13"/>
  <c r="B21"/>
  <c r="O15" i="8"/>
  <c r="M20" i="13"/>
  <c r="O7" i="8"/>
  <c r="C32"/>
  <c r="M21" i="13"/>
  <c r="V20" l="1"/>
  <c r="U20"/>
  <c r="V21"/>
  <c r="U21"/>
  <c r="K21"/>
  <c r="J21"/>
  <c r="U18"/>
  <c r="V18"/>
  <c r="V6"/>
  <c r="U6"/>
  <c r="C22"/>
  <c r="K17"/>
  <c r="J17"/>
  <c r="V19"/>
  <c r="U19"/>
  <c r="K12" i="8"/>
  <c r="J12"/>
  <c r="K19"/>
  <c r="J19"/>
  <c r="V15"/>
  <c r="U15"/>
  <c r="U28"/>
  <c r="V28"/>
  <c r="V18"/>
  <c r="U18"/>
  <c r="J6"/>
  <c r="K6"/>
  <c r="N6"/>
  <c r="V7"/>
  <c r="U7"/>
  <c r="V29"/>
  <c r="U29"/>
  <c r="K32"/>
  <c r="J32"/>
  <c r="U30"/>
  <c r="V30"/>
  <c r="T15"/>
  <c r="S15"/>
  <c r="H6"/>
  <c r="I6"/>
  <c r="S7"/>
  <c r="T7"/>
  <c r="S18"/>
  <c r="T18"/>
  <c r="T6" i="13"/>
  <c r="S6"/>
  <c r="N17"/>
  <c r="N22" s="1"/>
  <c r="T21"/>
  <c r="S21"/>
  <c r="I21"/>
  <c r="H21"/>
  <c r="N27" i="8"/>
  <c r="C33"/>
  <c r="M6"/>
  <c r="M32" s="1"/>
  <c r="O6"/>
  <c r="N31"/>
  <c r="N32"/>
  <c r="M31"/>
  <c r="N33"/>
  <c r="D20"/>
  <c r="I20" s="1"/>
  <c r="P35"/>
  <c r="D32"/>
  <c r="I32" s="1"/>
  <c r="D18" i="13" l="1"/>
  <c r="H18" s="1"/>
  <c r="K22"/>
  <c r="J22"/>
  <c r="C23"/>
  <c r="U22"/>
  <c r="V22"/>
  <c r="U17"/>
  <c r="V17"/>
  <c r="K33" i="8"/>
  <c r="J33"/>
  <c r="V31"/>
  <c r="U31"/>
  <c r="U27"/>
  <c r="V27"/>
  <c r="U6"/>
  <c r="V6"/>
  <c r="N34"/>
  <c r="U33"/>
  <c r="V33"/>
  <c r="U32"/>
  <c r="V32"/>
  <c r="O32"/>
  <c r="S6"/>
  <c r="T6"/>
  <c r="H20"/>
  <c r="H32"/>
  <c r="M33"/>
  <c r="M34" s="1"/>
  <c r="D17" i="13"/>
  <c r="D19" i="8"/>
  <c r="I19" s="1"/>
  <c r="E34"/>
  <c r="I18" i="13" l="1"/>
  <c r="N23"/>
  <c r="K23"/>
  <c r="J23"/>
  <c r="V34" i="8"/>
  <c r="U34"/>
  <c r="H19"/>
  <c r="S32"/>
  <c r="T32"/>
  <c r="O21"/>
  <c r="D22" i="13"/>
  <c r="I17"/>
  <c r="H17"/>
  <c r="O16"/>
  <c r="O22" s="1"/>
  <c r="T22" s="1"/>
  <c r="D33" i="8"/>
  <c r="I33" s="1"/>
  <c r="O20" i="13" l="1"/>
  <c r="C35" i="8"/>
  <c r="U23" i="13"/>
  <c r="V23"/>
  <c r="T21" i="8"/>
  <c r="S21"/>
  <c r="H33"/>
  <c r="O31"/>
  <c r="O33"/>
  <c r="I22" i="13"/>
  <c r="H22"/>
  <c r="S22"/>
  <c r="T20"/>
  <c r="S20"/>
  <c r="T16"/>
  <c r="S16"/>
  <c r="D23"/>
  <c r="K35" i="8" l="1"/>
  <c r="J35"/>
  <c r="C34"/>
  <c r="S31"/>
  <c r="T31"/>
  <c r="S33"/>
  <c r="T33"/>
  <c r="O34"/>
  <c r="I23" i="13"/>
  <c r="H23"/>
  <c r="O23"/>
  <c r="N35" i="8" l="1"/>
  <c r="J34"/>
  <c r="K34"/>
  <c r="S34"/>
  <c r="T34"/>
  <c r="T23" i="13"/>
  <c r="S23"/>
  <c r="D35" i="8"/>
  <c r="I35" s="1"/>
  <c r="V35" l="1"/>
  <c r="H35"/>
  <c r="O35"/>
  <c r="T35" l="1"/>
  <c r="D34"/>
  <c r="I34" s="1"/>
</calcChain>
</file>

<file path=xl/sharedStrings.xml><?xml version="1.0" encoding="utf-8"?>
<sst xmlns="http://schemas.openxmlformats.org/spreadsheetml/2006/main" count="189" uniqueCount="153">
  <si>
    <t>潮南区2020年一般公共预算收支平衡表</t>
  </si>
  <si>
    <t>单位：万元</t>
  </si>
  <si>
    <t>收    入</t>
  </si>
  <si>
    <t>支    出</t>
  </si>
  <si>
    <t>项  目</t>
  </si>
  <si>
    <t>一、本级一般公共预算收入</t>
  </si>
  <si>
    <t>一、本级一般公共预算支出</t>
  </si>
  <si>
    <t>（一）税收收入</t>
  </si>
  <si>
    <t>（一）基本支出</t>
  </si>
  <si>
    <t>（二）非税收入</t>
  </si>
  <si>
    <t>1.基本工资、津补贴、绩效工资、绩效考核奖金、年终奖</t>
  </si>
  <si>
    <t>1.税务部门</t>
  </si>
  <si>
    <t>①区直单位供养人员</t>
  </si>
  <si>
    <t>2.财政部门</t>
  </si>
  <si>
    <t>②镇级供养人员</t>
  </si>
  <si>
    <t>二、上级财力性补助收入</t>
  </si>
  <si>
    <t>③教师</t>
  </si>
  <si>
    <t>三、上级转移支付补助收入</t>
  </si>
  <si>
    <t>（一）一般性转移支付补助</t>
  </si>
  <si>
    <t>3.其他人员支出</t>
  </si>
  <si>
    <t>（二）专项转移支付补助</t>
  </si>
  <si>
    <t>（三）结余资金收回</t>
  </si>
  <si>
    <t>（二）项目支出</t>
  </si>
  <si>
    <t>四、地方政府置换债券转贷收入</t>
  </si>
  <si>
    <t>1.常规预算</t>
  </si>
  <si>
    <t>五、地方政府新增债券转贷收入</t>
  </si>
  <si>
    <t>2.综合预算</t>
  </si>
  <si>
    <t>二、上级转移性支付补助支出</t>
  </si>
  <si>
    <t>（一）上级一般性转移支付补助支出</t>
  </si>
  <si>
    <t>（一）线上结转</t>
  </si>
  <si>
    <t>（二）上级专项转移支付补助支出</t>
  </si>
  <si>
    <t>（二）收回存量资金</t>
  </si>
  <si>
    <t>三、上年结转支出</t>
  </si>
  <si>
    <t>八、动用预算稳定调节基金</t>
  </si>
  <si>
    <t>四、地方政府置换债券还本支出（线下支出）</t>
  </si>
  <si>
    <t>九、调入资金（收缴成田镇等12个卫生院财政历年财政垫付退休待遇补助）</t>
  </si>
  <si>
    <t>五、地方政府债券偿还本金
（线下支出）</t>
  </si>
  <si>
    <t>六、地方政府新增债券安排的支出</t>
  </si>
  <si>
    <t>（一）当年上级一般性转移支付补助支出</t>
  </si>
  <si>
    <t>（二）当年上级专项转移支付补助支出</t>
  </si>
  <si>
    <t>（三）上年结转支出</t>
  </si>
  <si>
    <t>一般公共预算支出</t>
  </si>
  <si>
    <t>本级一般公共预算
可支配财力</t>
  </si>
  <si>
    <t>本级一般公共预算
支出负担</t>
  </si>
  <si>
    <t>全口径一般公共预算财力</t>
  </si>
  <si>
    <t>全口径一般公共预算
支出负担</t>
  </si>
  <si>
    <t>收支缺口挂账
（待调入资金）</t>
  </si>
  <si>
    <t>财力缺口</t>
  </si>
  <si>
    <t>从政府性基金预算调入一般公共预算（调入资金）</t>
  </si>
  <si>
    <t>结余补充预算稳定调节基金（调出资金）</t>
  </si>
  <si>
    <t>潮南区2020年政府性基金预算收支平衡表</t>
  </si>
  <si>
    <t>一、本级政府性基金预算收入</t>
  </si>
  <si>
    <t>一、本级政府性基金预算支出</t>
  </si>
  <si>
    <t>（一）国有土地使用权出让收入</t>
  </si>
  <si>
    <t>（一）国有土地使用权出让收入安排的支出（包括债券发行费及利息）</t>
  </si>
  <si>
    <t>（二）城市基础设施配套费收入</t>
  </si>
  <si>
    <t>（二）城市基础设施配套费收入安排的支出</t>
  </si>
  <si>
    <t>（三）彩票公益金收入安排的支出</t>
  </si>
  <si>
    <t>（四）农业土地开发资金收入安排的支出</t>
  </si>
  <si>
    <t>（五）污水处理费收入</t>
  </si>
  <si>
    <t>二、上级专项转移支付补助支出</t>
  </si>
  <si>
    <t>二、上级专项转移支付补助收入</t>
  </si>
  <si>
    <t>五、地方政府新增债券支出</t>
  </si>
  <si>
    <t>四、地方政府新增债券转贷收入</t>
  </si>
  <si>
    <t>（一）当年上级专项转移支付补助支出</t>
  </si>
  <si>
    <t>（二）上年结转支出</t>
  </si>
  <si>
    <t>（三）清算退回历年结转上级资金</t>
  </si>
  <si>
    <t>政府性基金预算支出</t>
  </si>
  <si>
    <t>本级政府性基金预算
可支配财力</t>
  </si>
  <si>
    <t>本级政府性基金预算
支出负担</t>
  </si>
  <si>
    <t>全口径政府性基金
预算财力</t>
  </si>
  <si>
    <t>财力盈余</t>
  </si>
  <si>
    <t>政府性基金预算
调出资金</t>
  </si>
  <si>
    <t>年初
预算数</t>
    <phoneticPr fontId="5" type="noConversion"/>
  </si>
  <si>
    <t>五、抗疫特别国债</t>
    <phoneticPr fontId="5" type="noConversion"/>
  </si>
  <si>
    <t>六、上年结转收入</t>
    <phoneticPr fontId="5" type="noConversion"/>
  </si>
  <si>
    <t>六、抗疫特别国债安排的支出</t>
    <phoneticPr fontId="5" type="noConversion"/>
  </si>
  <si>
    <t>七、上年结转支出</t>
    <phoneticPr fontId="5" type="noConversion"/>
  </si>
  <si>
    <t>八、结转下年支出</t>
    <phoneticPr fontId="5" type="noConversion"/>
  </si>
  <si>
    <t>六、亚行贷款项目债务转贷收入</t>
    <phoneticPr fontId="5" type="noConversion"/>
  </si>
  <si>
    <t>七、上年结转收入</t>
    <phoneticPr fontId="5" type="noConversion"/>
  </si>
  <si>
    <t>七、亚行贷款还本支出
（线下支出）</t>
    <phoneticPr fontId="5" type="noConversion"/>
  </si>
  <si>
    <t>八、体制和专项上解</t>
    <phoneticPr fontId="5" type="noConversion"/>
  </si>
  <si>
    <t>九、结转下年支出</t>
    <phoneticPr fontId="5" type="noConversion"/>
  </si>
  <si>
    <t>全口径政府性基金预算
支出负担</t>
    <phoneticPr fontId="5" type="noConversion"/>
  </si>
  <si>
    <t>第一次预算
调整数</t>
    <phoneticPr fontId="5" type="noConversion"/>
  </si>
  <si>
    <t>附件1</t>
    <phoneticPr fontId="3" type="noConversion"/>
  </si>
  <si>
    <t>支出分类</t>
    <phoneticPr fontId="3" type="noConversion"/>
  </si>
  <si>
    <t>欠拨数</t>
    <phoneticPr fontId="3" type="noConversion"/>
  </si>
  <si>
    <t>年底前                          拟拨数</t>
    <phoneticPr fontId="3" type="noConversion"/>
  </si>
  <si>
    <t>基本</t>
    <phoneticPr fontId="5" type="noConversion"/>
  </si>
  <si>
    <t>项目</t>
    <phoneticPr fontId="5" type="noConversion"/>
  </si>
  <si>
    <t>预计                   全年执行</t>
    <phoneticPr fontId="3" type="noConversion"/>
  </si>
  <si>
    <t>拟调整数</t>
    <phoneticPr fontId="3" type="noConversion"/>
  </si>
  <si>
    <t>说  明</t>
    <phoneticPr fontId="3" type="noConversion"/>
  </si>
  <si>
    <t>合计</t>
    <phoneticPr fontId="3" type="noConversion"/>
  </si>
  <si>
    <t>调增(+)</t>
    <phoneticPr fontId="3" type="noConversion"/>
  </si>
  <si>
    <t>调减(-)</t>
    <phoneticPr fontId="3" type="noConversion"/>
  </si>
  <si>
    <t>预留全区性专项经费及存量资金收回安排的预算支出按项目性质分解到各个科目反映</t>
    <phoneticPr fontId="5" type="noConversion"/>
  </si>
  <si>
    <r>
      <t>潮南区</t>
    </r>
    <r>
      <rPr>
        <b/>
        <sz val="20"/>
        <rFont val="Times New Roman"/>
        <family val="1"/>
      </rPr>
      <t>2020</t>
    </r>
    <r>
      <rPr>
        <b/>
        <sz val="20"/>
        <rFont val="宋体"/>
        <family val="3"/>
        <charset val="134"/>
      </rPr>
      <t>年本级一般公共支出预算调整汇总表（按功能科目分类）</t>
    </r>
    <phoneticPr fontId="3" type="noConversion"/>
  </si>
  <si>
    <t>2020年                   预算数</t>
    <phoneticPr fontId="3" type="noConversion"/>
  </si>
  <si>
    <t>一般公共服务支出</t>
  </si>
  <si>
    <t>国防支出</t>
  </si>
  <si>
    <t>公共安全支出</t>
  </si>
  <si>
    <t>教育支出</t>
  </si>
  <si>
    <t>科学技术支出</t>
  </si>
  <si>
    <t>文化旅游体育与传媒支出</t>
  </si>
  <si>
    <t>社会保险基金支出</t>
  </si>
  <si>
    <t>卫生健康支出</t>
  </si>
  <si>
    <t>节能环保支出</t>
  </si>
  <si>
    <t>城乡社区支出</t>
  </si>
  <si>
    <t>农林水支出</t>
  </si>
  <si>
    <t>交通运输支出</t>
  </si>
  <si>
    <t>资源勘探工业信息等支出</t>
  </si>
  <si>
    <t>商业服务业等支出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</si>
  <si>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</si>
  <si>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</si>
  <si>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</si>
  <si>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</si>
  <si>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</si>
  <si>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</si>
  <si>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</si>
  <si>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</si>
  <si>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</si>
  <si>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金融支出</t>
    <phoneticPr fontId="5" type="noConversion"/>
  </si>
  <si>
    <t>社会保障和就业支出</t>
    <phoneticPr fontId="5" type="noConversion"/>
  </si>
  <si>
    <t>调整为208社会保障和就业支出支出</t>
    <phoneticPr fontId="5" type="noConversion"/>
  </si>
  <si>
    <t>亚行项目贷款部分支出由213农林水支出调整为207文化旅游体育与传媒支出。</t>
    <phoneticPr fontId="5" type="noConversion"/>
  </si>
  <si>
    <t>11月30日
执行数</t>
    <phoneticPr fontId="5" type="noConversion"/>
  </si>
  <si>
    <t>2.医疗保险、住房公积金、社保、社保年金、交通补助、工伤保险、生育保险等其他工资性支出</t>
    <phoneticPr fontId="5" type="noConversion"/>
  </si>
  <si>
    <t>附件3</t>
    <phoneticPr fontId="5" type="noConversion"/>
  </si>
  <si>
    <t>附件2</t>
    <phoneticPr fontId="5" type="noConversion"/>
  </si>
  <si>
    <t>截至
11月30日
执行数</t>
    <phoneticPr fontId="3" type="noConversion"/>
  </si>
  <si>
    <t>2020年未动用预备费</t>
    <phoneticPr fontId="5" type="noConversion"/>
  </si>
  <si>
    <t>（六）其他政府性基金预算收入</t>
    <phoneticPr fontId="5" type="noConversion"/>
  </si>
  <si>
    <t>（四）农业土地开发资金收入（按规定需专款专用）</t>
    <phoneticPr fontId="5" type="noConversion"/>
  </si>
  <si>
    <t>三、地方政府置换债券转贷收入</t>
    <phoneticPr fontId="5" type="noConversion"/>
  </si>
  <si>
    <t>三、地方政府置换债券还本支出（线下支出）</t>
    <phoneticPr fontId="5" type="noConversion"/>
  </si>
  <si>
    <t>四、地方政府债券偿还本金（线下支出）</t>
    <phoneticPr fontId="5" type="noConversion"/>
  </si>
  <si>
    <t>4.公用支出</t>
    <phoneticPr fontId="5" type="noConversion"/>
  </si>
  <si>
    <t>（三）彩票公益金收入（按规定需专款专用）</t>
    <phoneticPr fontId="5" type="noConversion"/>
  </si>
  <si>
    <t>对比年初
增长率</t>
    <phoneticPr fontId="5" type="noConversion"/>
  </si>
  <si>
    <t>对比年初
增减额</t>
    <phoneticPr fontId="5" type="noConversion"/>
  </si>
  <si>
    <t>对比去年
增长率</t>
    <phoneticPr fontId="5" type="noConversion"/>
  </si>
  <si>
    <t>对比年初
增减额</t>
    <phoneticPr fontId="5" type="noConversion"/>
  </si>
  <si>
    <t>对比去年
增减额</t>
    <phoneticPr fontId="5" type="noConversion"/>
  </si>
  <si>
    <r>
      <t>2</t>
    </r>
    <r>
      <rPr>
        <b/>
        <sz val="14"/>
        <rFont val="宋体"/>
        <family val="3"/>
        <charset val="134"/>
      </rPr>
      <t>019</t>
    </r>
    <r>
      <rPr>
        <b/>
        <sz val="14"/>
        <rFont val="宋体"/>
        <family val="3"/>
        <charset val="134"/>
      </rPr>
      <t>年             执行数</t>
    </r>
    <phoneticPr fontId="5" type="noConversion"/>
  </si>
  <si>
    <t>2019年             预算数</t>
    <phoneticPr fontId="5" type="noConversion"/>
  </si>
  <si>
    <t>2019年            预算数</t>
    <phoneticPr fontId="5" type="noConversion"/>
  </si>
  <si>
    <t>2019年
预算数</t>
    <phoneticPr fontId="5" type="noConversion"/>
  </si>
  <si>
    <t>本次预算
调整数</t>
    <phoneticPr fontId="5" type="noConversion"/>
  </si>
  <si>
    <t>单位：万元</t>
    <phoneticPr fontId="3" type="noConversion"/>
  </si>
  <si>
    <t>共计压减各项支出59037万元，其中：一般公共预算项目支出23809万元，政府性基金支出18850万元，加上增加部分退役士兵社会保险费（无能力缴费单位）727.7万元；调增亚行贷款项目城乡供水设施建设资金（亚行贷款部分）12832万元；调增新冠疫情防控专项经费348.15万元（含新冠肺炎疫情防控场地消毒服务费用268.15万元）；调增综合预算资金2070.6万元（含预算单位实体资金账户存款利息收入返还1270.6万元）;增加区城市排水有限公司注册资本金400万元</t>
    <phoneticPr fontId="5" type="noConversion"/>
  </si>
</sst>
</file>

<file path=xl/styles.xml><?xml version="1.0" encoding="utf-8"?>
<styleSheet xmlns="http://schemas.openxmlformats.org/spreadsheetml/2006/main">
  <numFmts count="6">
    <numFmt numFmtId="43" formatCode="_ * #,##0.00_ ;_ * \-#,##0.00_ ;_ * &quot;-&quot;??_ ;_ @_ "/>
    <numFmt numFmtId="176" formatCode="0_ "/>
    <numFmt numFmtId="177" formatCode="0.00_ ;[Red]\-0.00\ "/>
    <numFmt numFmtId="178" formatCode="0_ ;[Red]\-0\ "/>
    <numFmt numFmtId="179" formatCode="0.00_ "/>
    <numFmt numFmtId="180" formatCode="0.0000_ "/>
  </numFmts>
  <fonts count="41">
    <font>
      <sz val="11"/>
      <color theme="1"/>
      <name val="Tahoma"/>
      <charset val="134"/>
    </font>
    <font>
      <b/>
      <sz val="12"/>
      <name val="宋体"/>
      <family val="3"/>
      <charset val="134"/>
    </font>
    <font>
      <sz val="10"/>
      <name val="Arial"/>
      <family val="2"/>
    </font>
    <font>
      <sz val="9"/>
      <name val="宋体"/>
      <family val="3"/>
      <charset val="134"/>
    </font>
    <font>
      <sz val="12"/>
      <name val="宋体"/>
      <family val="3"/>
      <charset val="134"/>
    </font>
    <font>
      <sz val="9"/>
      <name val="Tahoma"/>
      <family val="2"/>
    </font>
    <font>
      <sz val="14"/>
      <name val="宋体"/>
      <family val="3"/>
      <charset val="134"/>
    </font>
    <font>
      <sz val="12"/>
      <name val="黑体"/>
      <family val="3"/>
      <charset val="134"/>
    </font>
    <font>
      <b/>
      <sz val="24"/>
      <name val="宋体"/>
      <family val="3"/>
      <charset val="134"/>
    </font>
    <font>
      <b/>
      <sz val="14"/>
      <name val="宋体"/>
      <family val="3"/>
      <charset val="134"/>
    </font>
    <font>
      <b/>
      <sz val="14"/>
      <name val="宋体"/>
      <family val="3"/>
      <charset val="134"/>
    </font>
    <font>
      <sz val="14"/>
      <color theme="1"/>
      <name val="宋体"/>
      <family val="3"/>
      <charset val="134"/>
      <scheme val="minor"/>
    </font>
    <font>
      <b/>
      <sz val="11"/>
      <color theme="1"/>
      <name val="宋体"/>
      <family val="3"/>
      <charset val="134"/>
      <scheme val="minor"/>
    </font>
    <font>
      <sz val="14"/>
      <name val="黑体"/>
      <family val="3"/>
      <charset val="134"/>
    </font>
    <font>
      <sz val="14"/>
      <name val="宋体"/>
      <family val="3"/>
      <charset val="134"/>
      <scheme val="minor"/>
    </font>
    <font>
      <sz val="11"/>
      <color indexed="8"/>
      <name val="宋体"/>
      <family val="3"/>
      <charset val="134"/>
    </font>
    <font>
      <sz val="11"/>
      <color theme="1"/>
      <name val="宋体"/>
      <family val="3"/>
      <charset val="134"/>
      <scheme val="minor"/>
    </font>
    <font>
      <sz val="11"/>
      <color indexed="9"/>
      <name val="宋体"/>
      <family val="3"/>
      <charset val="134"/>
    </font>
    <font>
      <b/>
      <sz val="11"/>
      <color indexed="63"/>
      <name val="宋体"/>
      <family val="3"/>
      <charset val="134"/>
    </font>
    <font>
      <sz val="11"/>
      <color theme="1"/>
      <name val="Tahoma"/>
      <family val="2"/>
    </font>
    <font>
      <b/>
      <sz val="13"/>
      <color indexed="56"/>
      <name val="宋体"/>
      <family val="3"/>
      <charset val="134"/>
    </font>
    <font>
      <b/>
      <sz val="11"/>
      <color indexed="52"/>
      <name val="宋体"/>
      <family val="3"/>
      <charset val="134"/>
    </font>
    <font>
      <sz val="11"/>
      <color indexed="17"/>
      <name val="宋体"/>
      <family val="3"/>
      <charset val="134"/>
    </font>
    <font>
      <b/>
      <sz val="11"/>
      <color indexed="9"/>
      <name val="宋体"/>
      <family val="3"/>
      <charset val="134"/>
    </font>
    <font>
      <b/>
      <sz val="18"/>
      <color indexed="56"/>
      <name val="宋体"/>
      <family val="3"/>
      <charset val="134"/>
    </font>
    <font>
      <sz val="11"/>
      <color indexed="20"/>
      <name val="宋体"/>
      <family val="3"/>
      <charset val="134"/>
    </font>
    <font>
      <sz val="11"/>
      <color indexed="52"/>
      <name val="宋体"/>
      <family val="3"/>
      <charset val="134"/>
    </font>
    <font>
      <b/>
      <sz val="11"/>
      <color indexed="8"/>
      <name val="宋体"/>
      <family val="3"/>
      <charset val="134"/>
    </font>
    <font>
      <b/>
      <sz val="15"/>
      <color indexed="56"/>
      <name val="宋体"/>
      <family val="3"/>
      <charset val="134"/>
    </font>
    <font>
      <b/>
      <sz val="11"/>
      <color indexed="56"/>
      <name val="宋体"/>
      <family val="3"/>
      <charset val="134"/>
    </font>
    <font>
      <sz val="11"/>
      <color indexed="10"/>
      <name val="宋体"/>
      <family val="3"/>
      <charset val="134"/>
    </font>
    <font>
      <i/>
      <sz val="11"/>
      <color indexed="23"/>
      <name val="宋体"/>
      <family val="3"/>
      <charset val="134"/>
    </font>
    <font>
      <sz val="11"/>
      <color indexed="60"/>
      <name val="宋体"/>
      <family val="3"/>
      <charset val="134"/>
    </font>
    <font>
      <sz val="11"/>
      <color indexed="62"/>
      <name val="宋体"/>
      <family val="3"/>
      <charset val="134"/>
    </font>
    <font>
      <b/>
      <sz val="20"/>
      <name val="宋体"/>
      <family val="3"/>
      <charset val="134"/>
    </font>
    <font>
      <b/>
      <sz val="20"/>
      <name val="Times New Roman"/>
      <family val="1"/>
    </font>
    <font>
      <b/>
      <sz val="11"/>
      <name val="宋体"/>
      <family val="3"/>
      <charset val="134"/>
    </font>
    <font>
      <b/>
      <sz val="9"/>
      <name val="宋体"/>
      <family val="3"/>
      <charset val="134"/>
    </font>
    <font>
      <sz val="12"/>
      <name val="仿宋"/>
      <family val="3"/>
      <charset val="134"/>
    </font>
    <font>
      <b/>
      <sz val="14"/>
      <name val="仿宋"/>
      <family val="3"/>
      <charset val="134"/>
    </font>
    <font>
      <sz val="10"/>
      <name val="仿宋"/>
      <family val="3"/>
      <charset val="134"/>
    </font>
  </fonts>
  <fills count="2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55"/>
        <bgColor indexed="64"/>
      </patternFill>
    </fill>
    <fill>
      <patternFill patternType="solid">
        <fgColor indexed="36"/>
        <bgColor indexed="64"/>
      </patternFill>
    </fill>
    <fill>
      <patternFill patternType="solid">
        <fgColor indexed="27"/>
        <bgColor indexed="64"/>
      </patternFill>
    </fill>
    <fill>
      <patternFill patternType="solid">
        <fgColor indexed="62"/>
        <bgColor indexed="64"/>
      </patternFill>
    </fill>
    <fill>
      <patternFill patternType="solid">
        <fgColor indexed="49"/>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57"/>
        <bgColor indexed="64"/>
      </patternFill>
    </fill>
    <fill>
      <patternFill patternType="solid">
        <fgColor indexed="52"/>
        <bgColor indexed="64"/>
      </patternFill>
    </fill>
    <fill>
      <patternFill patternType="solid">
        <fgColor indexed="53"/>
        <bgColor indexed="64"/>
      </patternFill>
    </fill>
    <fill>
      <patternFill patternType="solid">
        <fgColor rgb="FFFFC000"/>
        <bgColor indexed="64"/>
      </patternFill>
    </fill>
  </fills>
  <borders count="19">
    <border>
      <left/>
      <right/>
      <top/>
      <bottom/>
      <diagonal/>
    </border>
    <border>
      <left/>
      <right/>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62">
    <xf numFmtId="0" fontId="0" fillId="0" borderId="0"/>
    <xf numFmtId="0" fontId="15" fillId="3" borderId="0" applyNumberFormat="0" applyBorder="0" applyAlignment="0" applyProtection="0">
      <alignment vertical="center"/>
    </xf>
    <xf numFmtId="0" fontId="18" fillId="12" borderId="3" applyNumberFormat="0" applyAlignment="0" applyProtection="0">
      <alignment vertical="center"/>
    </xf>
    <xf numFmtId="0" fontId="16" fillId="0" borderId="0">
      <alignment vertical="center"/>
    </xf>
    <xf numFmtId="0" fontId="21" fillId="12" borderId="5" applyNumberFormat="0" applyAlignment="0" applyProtection="0">
      <alignment vertical="center"/>
    </xf>
    <xf numFmtId="0" fontId="19" fillId="0" borderId="0"/>
    <xf numFmtId="0" fontId="15" fillId="4" borderId="0" applyNumberFormat="0" applyBorder="0" applyAlignment="0" applyProtection="0">
      <alignment vertical="center"/>
    </xf>
    <xf numFmtId="0" fontId="18" fillId="12" borderId="3" applyNumberFormat="0" applyAlignment="0" applyProtection="0">
      <alignment vertical="center"/>
    </xf>
    <xf numFmtId="0" fontId="15" fillId="9"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31" fillId="0" borderId="0" applyNumberFormat="0" applyFill="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6" fillId="0" borderId="0">
      <alignment vertical="center"/>
    </xf>
    <xf numFmtId="0" fontId="15" fillId="15" borderId="0" applyNumberFormat="0" applyBorder="0" applyAlignment="0" applyProtection="0">
      <alignment vertical="center"/>
    </xf>
    <xf numFmtId="0" fontId="21" fillId="12" borderId="5" applyNumberFormat="0" applyAlignment="0" applyProtection="0">
      <alignment vertical="center"/>
    </xf>
    <xf numFmtId="0" fontId="15" fillId="7" borderId="0" applyNumberFormat="0" applyBorder="0" applyAlignment="0" applyProtection="0">
      <alignment vertical="center"/>
    </xf>
    <xf numFmtId="0" fontId="19" fillId="0" borderId="0"/>
    <xf numFmtId="0" fontId="16" fillId="0" borderId="0">
      <alignment vertical="center"/>
    </xf>
    <xf numFmtId="0" fontId="3" fillId="18" borderId="11" applyNumberFormat="0" applyFont="0" applyAlignment="0" applyProtection="0">
      <alignment vertical="center"/>
    </xf>
    <xf numFmtId="0" fontId="18" fillId="12" borderId="3" applyNumberFormat="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6" fillId="0" borderId="0">
      <alignment vertical="center"/>
    </xf>
    <xf numFmtId="0" fontId="16" fillId="0" borderId="0">
      <alignment vertical="center"/>
    </xf>
    <xf numFmtId="0" fontId="26" fillId="0" borderId="7" applyNumberFormat="0" applyFill="0" applyAlignment="0" applyProtection="0">
      <alignment vertical="center"/>
    </xf>
    <xf numFmtId="0" fontId="18" fillId="12" borderId="3" applyNumberFormat="0" applyAlignment="0" applyProtection="0">
      <alignment vertical="center"/>
    </xf>
    <xf numFmtId="0" fontId="16" fillId="0" borderId="0">
      <alignment vertical="center"/>
    </xf>
    <xf numFmtId="0" fontId="19" fillId="0" borderId="0"/>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21" fillId="12" borderId="5" applyNumberFormat="0" applyAlignment="0" applyProtection="0">
      <alignment vertical="center"/>
    </xf>
    <xf numFmtId="0" fontId="32" fillId="19" borderId="0" applyNumberFormat="0" applyBorder="0" applyAlignment="0" applyProtection="0">
      <alignment vertical="center"/>
    </xf>
    <xf numFmtId="0" fontId="18" fillId="12" borderId="3" applyNumberFormat="0" applyAlignment="0" applyProtection="0">
      <alignment vertical="center"/>
    </xf>
    <xf numFmtId="0" fontId="15" fillId="4" borderId="0" applyNumberFormat="0" applyBorder="0" applyAlignment="0" applyProtection="0">
      <alignment vertical="center"/>
    </xf>
    <xf numFmtId="0" fontId="16" fillId="0" borderId="0">
      <alignment vertical="center"/>
    </xf>
    <xf numFmtId="0" fontId="15" fillId="3" borderId="0" applyNumberFormat="0" applyBorder="0" applyAlignment="0" applyProtection="0">
      <alignment vertical="center"/>
    </xf>
    <xf numFmtId="0" fontId="18" fillId="12" borderId="3" applyNumberFormat="0" applyAlignment="0" applyProtection="0">
      <alignment vertical="center"/>
    </xf>
    <xf numFmtId="0" fontId="15" fillId="9" borderId="0" applyNumberFormat="0" applyBorder="0" applyAlignment="0" applyProtection="0">
      <alignment vertical="center"/>
    </xf>
    <xf numFmtId="0" fontId="16" fillId="0" borderId="0">
      <alignment vertical="center"/>
    </xf>
    <xf numFmtId="0" fontId="15" fillId="7" borderId="0" applyNumberFormat="0" applyBorder="0" applyAlignment="0" applyProtection="0">
      <alignment vertical="center"/>
    </xf>
    <xf numFmtId="0" fontId="4" fillId="0" borderId="0"/>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0" borderId="0">
      <alignment vertical="center"/>
    </xf>
    <xf numFmtId="0" fontId="15" fillId="2" borderId="0" applyNumberFormat="0" applyBorder="0" applyAlignment="0" applyProtection="0">
      <alignment vertical="center"/>
    </xf>
    <xf numFmtId="0" fontId="16"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1" fillId="12" borderId="5" applyNumberFormat="0" applyAlignment="0" applyProtection="0">
      <alignment vertical="center"/>
    </xf>
    <xf numFmtId="0" fontId="16" fillId="0" borderId="0">
      <alignment vertical="center"/>
    </xf>
    <xf numFmtId="0" fontId="15" fillId="11" borderId="0" applyNumberFormat="0" applyBorder="0" applyAlignment="0" applyProtection="0">
      <alignment vertical="center"/>
    </xf>
    <xf numFmtId="0" fontId="21" fillId="12" borderId="5" applyNumberFormat="0" applyAlignment="0" applyProtection="0">
      <alignment vertical="center"/>
    </xf>
    <xf numFmtId="0" fontId="15" fillId="11" borderId="0" applyNumberFormat="0" applyBorder="0" applyAlignment="0" applyProtection="0">
      <alignment vertical="center"/>
    </xf>
    <xf numFmtId="0" fontId="21" fillId="12" borderId="5" applyNumberFormat="0" applyAlignment="0" applyProtection="0">
      <alignment vertical="center"/>
    </xf>
    <xf numFmtId="0" fontId="15" fillId="11" borderId="0" applyNumberFormat="0" applyBorder="0" applyAlignment="0" applyProtection="0">
      <alignment vertical="center"/>
    </xf>
    <xf numFmtId="0" fontId="23" fillId="13" borderId="6" applyNumberFormat="0" applyAlignment="0" applyProtection="0">
      <alignment vertical="center"/>
    </xf>
    <xf numFmtId="0" fontId="27" fillId="0" borderId="8" applyNumberFormat="0" applyFill="0" applyAlignment="0" applyProtection="0">
      <alignment vertical="center"/>
    </xf>
    <xf numFmtId="0" fontId="15" fillId="7" borderId="0" applyNumberFormat="0" applyBorder="0" applyAlignment="0" applyProtection="0">
      <alignment vertical="center"/>
    </xf>
    <xf numFmtId="0" fontId="33" fillId="6" borderId="5" applyNumberFormat="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7" fillId="1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2" fillId="19"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7" fillId="21" borderId="0" applyNumberFormat="0" applyBorder="0" applyAlignment="0" applyProtection="0">
      <alignment vertical="center"/>
    </xf>
    <xf numFmtId="0" fontId="15" fillId="8" borderId="0" applyNumberFormat="0" applyBorder="0" applyAlignment="0" applyProtection="0">
      <alignment vertical="center"/>
    </xf>
    <xf numFmtId="0" fontId="22" fillId="4" borderId="0" applyNumberFormat="0" applyBorder="0" applyAlignment="0" applyProtection="0">
      <alignment vertical="center"/>
    </xf>
    <xf numFmtId="0" fontId="17" fillId="10" borderId="0" applyNumberFormat="0" applyBorder="0" applyAlignment="0" applyProtection="0">
      <alignment vertical="center"/>
    </xf>
    <xf numFmtId="0" fontId="22" fillId="4"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0" borderId="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6" fillId="0" borderId="0">
      <alignment vertical="center"/>
    </xf>
    <xf numFmtId="0" fontId="1" fillId="0" borderId="0" applyNumberFormat="0" applyFill="0" applyBorder="0" applyAlignment="0" applyProtection="0"/>
    <xf numFmtId="0" fontId="16" fillId="0" borderId="0">
      <alignment vertical="center"/>
    </xf>
    <xf numFmtId="0" fontId="17" fillId="16" borderId="0" applyNumberFormat="0" applyBorder="0" applyAlignment="0" applyProtection="0">
      <alignment vertical="center"/>
    </xf>
    <xf numFmtId="0" fontId="16" fillId="0" borderId="0">
      <alignment vertical="center"/>
    </xf>
    <xf numFmtId="0" fontId="1" fillId="0" borderId="0" applyNumberFormat="0" applyFill="0" applyBorder="0" applyAlignment="0" applyProtection="0"/>
    <xf numFmtId="0" fontId="16" fillId="0" borderId="0">
      <alignment vertical="center"/>
    </xf>
    <xf numFmtId="0" fontId="28" fillId="0" borderId="9" applyNumberFormat="0" applyFill="0" applyAlignment="0" applyProtection="0">
      <alignment vertical="center"/>
    </xf>
    <xf numFmtId="0" fontId="16" fillId="0" borderId="0">
      <alignment vertical="center"/>
    </xf>
    <xf numFmtId="0" fontId="28" fillId="0" borderId="9" applyNumberFormat="0" applyFill="0" applyAlignment="0" applyProtection="0">
      <alignment vertical="center"/>
    </xf>
    <xf numFmtId="0" fontId="16" fillId="0" borderId="0">
      <alignment vertical="center"/>
    </xf>
    <xf numFmtId="0" fontId="28" fillId="0" borderId="9" applyNumberFormat="0" applyFill="0" applyAlignment="0" applyProtection="0">
      <alignment vertical="center"/>
    </xf>
    <xf numFmtId="0" fontId="16"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16" fillId="0" borderId="0">
      <alignment vertical="center"/>
    </xf>
    <xf numFmtId="0" fontId="20" fillId="0" borderId="4" applyNumberFormat="0" applyFill="0" applyAlignment="0" applyProtection="0">
      <alignment vertical="center"/>
    </xf>
    <xf numFmtId="0" fontId="16" fillId="0" borderId="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29" fillId="0" borderId="10" applyNumberFormat="0" applyFill="0" applyAlignment="0" applyProtection="0">
      <alignment vertical="center"/>
    </xf>
    <xf numFmtId="0" fontId="16" fillId="0" borderId="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8" applyNumberFormat="0" applyFill="0" applyAlignment="0" applyProtection="0">
      <alignment vertical="center"/>
    </xf>
    <xf numFmtId="0" fontId="29" fillId="0" borderId="0" applyNumberFormat="0" applyFill="0" applyBorder="0" applyAlignment="0" applyProtection="0">
      <alignment vertical="center"/>
    </xf>
    <xf numFmtId="0" fontId="16"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6" fillId="0" borderId="0">
      <alignment vertical="center"/>
    </xf>
    <xf numFmtId="0" fontId="25" fillId="9" borderId="0" applyNumberFormat="0" applyBorder="0" applyAlignment="0" applyProtection="0">
      <alignment vertical="center"/>
    </xf>
    <xf numFmtId="0" fontId="16" fillId="0" borderId="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2" fillId="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16" fillId="0" borderId="0">
      <alignment vertical="center"/>
    </xf>
    <xf numFmtId="0" fontId="16" fillId="0" borderId="0">
      <alignment vertical="center"/>
    </xf>
    <xf numFmtId="0" fontId="4" fillId="0" borderId="0"/>
    <xf numFmtId="0" fontId="4" fillId="0" borderId="0">
      <alignment vertical="center"/>
    </xf>
    <xf numFmtId="0" fontId="4" fillId="0" borderId="0"/>
    <xf numFmtId="0" fontId="15" fillId="0" borderId="0">
      <alignment vertical="center"/>
    </xf>
    <xf numFmtId="0" fontId="15" fillId="0" borderId="0">
      <alignment vertical="center"/>
    </xf>
    <xf numFmtId="0" fontId="3" fillId="0" borderId="0" applyFont="0" applyAlignment="0">
      <alignment vertical="center"/>
    </xf>
    <xf numFmtId="0" fontId="4"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5" fillId="0" borderId="0" applyFont="0" applyFill="0" applyBorder="0" applyAlignment="0" applyProtection="0">
      <alignment vertical="center"/>
    </xf>
    <xf numFmtId="0" fontId="16" fillId="0" borderId="0">
      <alignment vertical="center"/>
    </xf>
    <xf numFmtId="43" fontId="15" fillId="0" borderId="0" applyFont="0" applyFill="0" applyBorder="0" applyAlignment="0" applyProtection="0">
      <alignment vertical="center"/>
    </xf>
    <xf numFmtId="0" fontId="4" fillId="0" borderId="0"/>
    <xf numFmtId="0" fontId="16" fillId="0" borderId="0">
      <alignment vertical="center"/>
    </xf>
    <xf numFmtId="0" fontId="17" fillId="20" borderId="0" applyNumberFormat="0" applyBorder="0" applyAlignment="0" applyProtection="0">
      <alignment vertical="center"/>
    </xf>
    <xf numFmtId="0" fontId="16" fillId="0" borderId="0">
      <alignment vertical="center"/>
    </xf>
    <xf numFmtId="0" fontId="16" fillId="0" borderId="0">
      <alignment vertical="center"/>
    </xf>
    <xf numFmtId="0" fontId="4"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3" fillId="6" borderId="5" applyNumberForma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 fillId="0" borderId="0"/>
    <xf numFmtId="0" fontId="17" fillId="14" borderId="0" applyNumberFormat="0" applyBorder="0" applyAlignment="0" applyProtection="0">
      <alignment vertical="center"/>
    </xf>
    <xf numFmtId="0" fontId="4" fillId="0" borderId="0">
      <alignment vertical="center"/>
    </xf>
    <xf numFmtId="0" fontId="17" fillId="14" borderId="0" applyNumberFormat="0" applyBorder="0" applyAlignment="0" applyProtection="0">
      <alignment vertical="center"/>
    </xf>
    <xf numFmtId="0" fontId="4" fillId="0" borderId="0">
      <alignment vertical="center"/>
    </xf>
    <xf numFmtId="0" fontId="17" fillId="14" borderId="0" applyNumberFormat="0" applyBorder="0" applyAlignment="0" applyProtection="0">
      <alignment vertical="center"/>
    </xf>
    <xf numFmtId="0" fontId="4" fillId="0" borderId="0">
      <alignment vertical="center"/>
    </xf>
    <xf numFmtId="0" fontId="16" fillId="0" borderId="0">
      <alignment vertical="center"/>
    </xf>
    <xf numFmtId="0" fontId="33" fillId="6" borderId="5" applyNumberFormat="0" applyAlignment="0" applyProtection="0">
      <alignment vertical="center"/>
    </xf>
    <xf numFmtId="0" fontId="16" fillId="0" borderId="0">
      <alignment vertical="center"/>
    </xf>
    <xf numFmtId="0" fontId="22" fillId="4" borderId="0" applyNumberFormat="0" applyBorder="0" applyAlignment="0" applyProtection="0">
      <alignment vertical="center"/>
    </xf>
    <xf numFmtId="0" fontId="15" fillId="0" borderId="0">
      <alignment vertical="center"/>
    </xf>
    <xf numFmtId="0" fontId="19" fillId="0" borderId="0"/>
    <xf numFmtId="0" fontId="4" fillId="0" borderId="0"/>
    <xf numFmtId="0" fontId="4" fillId="0" borderId="0"/>
    <xf numFmtId="0" fontId="16" fillId="0" borderId="0">
      <alignment vertical="center"/>
    </xf>
    <xf numFmtId="0" fontId="4" fillId="0" borderId="0"/>
    <xf numFmtId="0" fontId="16" fillId="0" borderId="0">
      <alignment vertical="center"/>
    </xf>
    <xf numFmtId="0" fontId="16" fillId="0" borderId="0">
      <alignment vertical="center"/>
    </xf>
    <xf numFmtId="0" fontId="19" fillId="0" borderId="0"/>
    <xf numFmtId="0" fontId="3" fillId="18" borderId="11" applyNumberFormat="0" applyFont="0" applyAlignment="0" applyProtection="0">
      <alignment vertical="center"/>
    </xf>
    <xf numFmtId="0" fontId="16" fillId="0" borderId="0">
      <alignment vertical="center"/>
    </xf>
    <xf numFmtId="0" fontId="3" fillId="18" borderId="11" applyNumberFormat="0" applyFont="0" applyAlignment="0" applyProtection="0">
      <alignment vertical="center"/>
    </xf>
    <xf numFmtId="0" fontId="19"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 fillId="0" borderId="0"/>
    <xf numFmtId="0" fontId="23" fillId="13" borderId="6" applyNumberFormat="0" applyAlignment="0" applyProtection="0">
      <alignment vertical="center"/>
    </xf>
    <xf numFmtId="0" fontId="30" fillId="0" borderId="0" applyNumberFormat="0" applyFill="0" applyBorder="0" applyAlignment="0" applyProtection="0">
      <alignment vertical="center"/>
    </xf>
    <xf numFmtId="0" fontId="4"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3" fillId="13" borderId="6"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32" fillId="19" borderId="0" applyNumberFormat="0" applyBorder="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2" fillId="0" borderId="0"/>
    <xf numFmtId="0" fontId="3" fillId="18" borderId="11" applyNumberFormat="0" applyFont="0" applyAlignment="0" applyProtection="0">
      <alignment vertical="center"/>
    </xf>
    <xf numFmtId="0" fontId="3" fillId="18" borderId="11" applyNumberFormat="0" applyFont="0" applyAlignment="0" applyProtection="0">
      <alignment vertical="center"/>
    </xf>
    <xf numFmtId="0" fontId="3" fillId="18" borderId="11" applyNumberFormat="0" applyFont="0" applyAlignment="0" applyProtection="0">
      <alignment vertical="center"/>
    </xf>
    <xf numFmtId="0" fontId="4" fillId="0" borderId="0"/>
  </cellStyleXfs>
  <cellXfs count="87">
    <xf numFmtId="0" fontId="0" fillId="0" borderId="0" xfId="0"/>
    <xf numFmtId="0" fontId="6" fillId="0" borderId="0" xfId="223" applyFont="1" applyFill="1"/>
    <xf numFmtId="0" fontId="4" fillId="0" borderId="0" xfId="223" applyFill="1"/>
    <xf numFmtId="0" fontId="7" fillId="0" borderId="0" xfId="161" applyFont="1" applyFill="1" applyAlignment="1">
      <alignment vertical="center"/>
    </xf>
    <xf numFmtId="0" fontId="4" fillId="0" borderId="0" xfId="161" applyFont="1" applyFill="1"/>
    <xf numFmtId="4" fontId="12" fillId="0" borderId="0" xfId="0" applyNumberFormat="1" applyFont="1" applyFill="1" applyAlignment="1">
      <alignment vertical="center"/>
    </xf>
    <xf numFmtId="177" fontId="4" fillId="0" borderId="0" xfId="223" applyNumberFormat="1" applyFill="1"/>
    <xf numFmtId="178" fontId="6" fillId="0" borderId="0" xfId="223" applyNumberFormat="1" applyFont="1" applyFill="1"/>
    <xf numFmtId="178" fontId="4" fillId="0" borderId="0" xfId="223" applyNumberFormat="1" applyFill="1"/>
    <xf numFmtId="0" fontId="4" fillId="0" borderId="0" xfId="223" applyFont="1" applyFill="1" applyAlignment="1">
      <alignment vertical="center"/>
    </xf>
    <xf numFmtId="0" fontId="4" fillId="0" borderId="0" xfId="223" applyFont="1" applyFill="1"/>
    <xf numFmtId="0" fontId="4" fillId="0" borderId="0" xfId="223" applyFont="1" applyFill="1" applyAlignment="1">
      <alignment horizontal="center"/>
    </xf>
    <xf numFmtId="0" fontId="13" fillId="0" borderId="0" xfId="161" applyFont="1" applyFill="1" applyAlignment="1">
      <alignment vertical="center"/>
    </xf>
    <xf numFmtId="0" fontId="4" fillId="0" borderId="0" xfId="161" applyFont="1" applyFill="1" applyAlignment="1">
      <alignment vertical="center"/>
    </xf>
    <xf numFmtId="0" fontId="4" fillId="0" borderId="0" xfId="161" applyFont="1" applyFill="1" applyAlignment="1">
      <alignment horizontal="center" vertical="center"/>
    </xf>
    <xf numFmtId="0" fontId="4" fillId="0" borderId="0" xfId="161" applyFont="1" applyFill="1" applyAlignment="1">
      <alignment horizontal="center"/>
    </xf>
    <xf numFmtId="178" fontId="4" fillId="0" borderId="0" xfId="223" applyNumberFormat="1" applyFont="1" applyFill="1" applyAlignment="1">
      <alignment horizontal="center"/>
    </xf>
    <xf numFmtId="178" fontId="4" fillId="0" borderId="0" xfId="223" applyNumberFormat="1" applyFont="1" applyFill="1"/>
    <xf numFmtId="10" fontId="4" fillId="0" borderId="0" xfId="223" applyNumberFormat="1" applyFont="1" applyFill="1"/>
    <xf numFmtId="178" fontId="6" fillId="0" borderId="12" xfId="161" applyNumberFormat="1" applyFont="1" applyFill="1" applyBorder="1" applyAlignment="1">
      <alignment horizontal="center" vertical="center"/>
    </xf>
    <xf numFmtId="0" fontId="9" fillId="0" borderId="12" xfId="166" applyFont="1" applyFill="1" applyBorder="1" applyAlignment="1">
      <alignment horizontal="center" vertical="center" wrapText="1"/>
    </xf>
    <xf numFmtId="0" fontId="6" fillId="0" borderId="12" xfId="223" applyFont="1" applyFill="1" applyBorder="1" applyAlignment="1">
      <alignment vertical="center" wrapText="1"/>
    </xf>
    <xf numFmtId="0" fontId="14" fillId="0" borderId="12" xfId="161" applyFont="1" applyFill="1" applyBorder="1" applyAlignment="1">
      <alignment vertical="center" wrapText="1"/>
    </xf>
    <xf numFmtId="179" fontId="4" fillId="0" borderId="0" xfId="261" applyNumberFormat="1" applyFont="1" applyFill="1" applyAlignment="1" applyProtection="1">
      <alignment vertical="center"/>
      <protection locked="0"/>
    </xf>
    <xf numFmtId="179" fontId="4" fillId="24" borderId="0" xfId="261" applyNumberFormat="1" applyFont="1" applyFill="1" applyAlignment="1" applyProtection="1">
      <alignment vertical="center"/>
      <protection locked="0"/>
    </xf>
    <xf numFmtId="179" fontId="4" fillId="0" borderId="0" xfId="261" applyNumberFormat="1" applyAlignment="1" applyProtection="1">
      <alignment vertical="center"/>
      <protection locked="0"/>
    </xf>
    <xf numFmtId="179" fontId="4" fillId="0" borderId="0" xfId="261" applyNumberFormat="1" applyFont="1" applyFill="1" applyProtection="1">
      <protection locked="0"/>
    </xf>
    <xf numFmtId="179" fontId="4" fillId="0" borderId="0" xfId="261" applyNumberFormat="1" applyProtection="1">
      <protection locked="0"/>
    </xf>
    <xf numFmtId="0" fontId="36" fillId="0" borderId="12" xfId="261" applyNumberFormat="1" applyFont="1" applyFill="1" applyBorder="1" applyAlignment="1" applyProtection="1">
      <alignment horizontal="center" vertical="center" wrapText="1"/>
      <protection locked="0"/>
    </xf>
    <xf numFmtId="0" fontId="37" fillId="0" borderId="12" xfId="261" applyNumberFormat="1" applyFont="1" applyFill="1" applyBorder="1" applyAlignment="1" applyProtection="1">
      <alignment horizontal="center" vertical="center" shrinkToFit="1"/>
      <protection locked="0"/>
    </xf>
    <xf numFmtId="178" fontId="37" fillId="0" borderId="12" xfId="261" applyNumberFormat="1" applyFont="1" applyFill="1" applyBorder="1" applyAlignment="1" applyProtection="1">
      <alignment horizontal="center" vertical="center" shrinkToFit="1"/>
      <protection locked="0"/>
    </xf>
    <xf numFmtId="178" fontId="37" fillId="24" borderId="12" xfId="261" applyNumberFormat="1" applyFont="1" applyFill="1" applyBorder="1" applyAlignment="1" applyProtection="1">
      <alignment horizontal="center" vertical="center" shrinkToFit="1"/>
      <protection locked="0"/>
    </xf>
    <xf numFmtId="40" fontId="4" fillId="0" borderId="12" xfId="261" applyNumberFormat="1" applyFont="1" applyFill="1" applyBorder="1" applyAlignment="1" applyProtection="1">
      <alignment horizontal="center"/>
      <protection locked="0"/>
    </xf>
    <xf numFmtId="178" fontId="3" fillId="0" borderId="12" xfId="223" applyNumberFormat="1" applyFont="1" applyFill="1" applyBorder="1" applyAlignment="1" applyProtection="1">
      <alignment horizontal="center" vertical="center" shrinkToFit="1"/>
    </xf>
    <xf numFmtId="178" fontId="3" fillId="0" borderId="12" xfId="261" applyNumberFormat="1" applyFont="1" applyFill="1" applyBorder="1" applyAlignment="1" applyProtection="1">
      <alignment horizontal="center" vertical="center" shrinkToFit="1"/>
    </xf>
    <xf numFmtId="178" fontId="3" fillId="24" borderId="12" xfId="261" applyNumberFormat="1" applyFont="1" applyFill="1" applyBorder="1" applyAlignment="1" applyProtection="1">
      <alignment horizontal="center" vertical="center" shrinkToFit="1"/>
    </xf>
    <xf numFmtId="178" fontId="3" fillId="0" borderId="12" xfId="261" applyNumberFormat="1" applyFont="1" applyFill="1" applyBorder="1" applyAlignment="1" applyProtection="1">
      <alignment horizontal="center" vertical="center" shrinkToFit="1"/>
      <protection locked="0"/>
    </xf>
    <xf numFmtId="40" fontId="3" fillId="0" borderId="12" xfId="261" applyNumberFormat="1" applyFont="1" applyFill="1" applyBorder="1" applyAlignment="1" applyProtection="1">
      <alignment horizontal="left" vertical="center" wrapText="1"/>
      <protection locked="0"/>
    </xf>
    <xf numFmtId="0" fontId="4" fillId="0" borderId="0" xfId="261" applyNumberFormat="1" applyFont="1" applyProtection="1">
      <protection locked="0"/>
    </xf>
    <xf numFmtId="179" fontId="4" fillId="0" borderId="0" xfId="261" applyNumberFormat="1" applyFill="1" applyProtection="1">
      <protection locked="0"/>
    </xf>
    <xf numFmtId="179" fontId="4" fillId="24" borderId="0" xfId="261" applyNumberFormat="1" applyFill="1" applyProtection="1">
      <protection locked="0"/>
    </xf>
    <xf numFmtId="0" fontId="3" fillId="0" borderId="12" xfId="0" applyNumberFormat="1" applyFont="1" applyFill="1" applyBorder="1" applyAlignment="1">
      <alignment horizontal="left" vertical="center" wrapText="1"/>
    </xf>
    <xf numFmtId="180" fontId="4" fillId="0" borderId="0" xfId="261" applyNumberFormat="1" applyProtection="1">
      <protection locked="0"/>
    </xf>
    <xf numFmtId="0" fontId="10" fillId="0" borderId="12" xfId="161" applyFont="1" applyFill="1" applyBorder="1" applyAlignment="1">
      <alignment horizontal="center" vertical="center"/>
    </xf>
    <xf numFmtId="0" fontId="10" fillId="0" borderId="12" xfId="161" applyFont="1" applyFill="1" applyBorder="1" applyAlignment="1">
      <alignment horizontal="center" vertical="center" wrapText="1"/>
    </xf>
    <xf numFmtId="0" fontId="6" fillId="0" borderId="12" xfId="161" applyFont="1" applyFill="1" applyBorder="1" applyAlignment="1">
      <alignment horizontal="left" vertical="center" wrapText="1"/>
    </xf>
    <xf numFmtId="10" fontId="6" fillId="0" borderId="12" xfId="161" applyNumberFormat="1" applyFont="1" applyFill="1" applyBorder="1" applyAlignment="1">
      <alignment horizontal="center" vertical="center"/>
    </xf>
    <xf numFmtId="0" fontId="6" fillId="0" borderId="12" xfId="161" applyFont="1" applyFill="1" applyBorder="1" applyAlignment="1">
      <alignment vertical="center" wrapText="1"/>
    </xf>
    <xf numFmtId="0" fontId="4" fillId="0" borderId="12" xfId="161" applyFont="1" applyFill="1" applyBorder="1" applyAlignment="1">
      <alignment horizontal="left" vertical="center" wrapText="1"/>
    </xf>
    <xf numFmtId="0" fontId="6" fillId="0" borderId="12" xfId="223" applyFont="1" applyFill="1" applyBorder="1" applyAlignment="1">
      <alignment horizontal="left" vertical="center" wrapText="1"/>
    </xf>
    <xf numFmtId="178" fontId="10" fillId="0" borderId="12" xfId="161" applyNumberFormat="1" applyFont="1" applyFill="1" applyBorder="1" applyAlignment="1">
      <alignment horizontal="center" vertical="center" shrinkToFit="1"/>
    </xf>
    <xf numFmtId="178" fontId="10" fillId="0" borderId="12" xfId="161" applyNumberFormat="1" applyFont="1" applyFill="1" applyBorder="1" applyAlignment="1">
      <alignment horizontal="center" vertical="center"/>
    </xf>
    <xf numFmtId="176" fontId="10" fillId="0" borderId="12" xfId="161" applyNumberFormat="1" applyFont="1" applyFill="1" applyBorder="1" applyAlignment="1">
      <alignment horizontal="center" vertical="center"/>
    </xf>
    <xf numFmtId="0" fontId="11" fillId="0" borderId="12" xfId="161" applyFont="1" applyFill="1" applyBorder="1" applyAlignment="1">
      <alignment vertical="center" wrapText="1"/>
    </xf>
    <xf numFmtId="176" fontId="6" fillId="0" borderId="12" xfId="161" applyNumberFormat="1" applyFont="1" applyFill="1" applyBorder="1" applyAlignment="1">
      <alignment horizontal="center" vertical="center"/>
    </xf>
    <xf numFmtId="0" fontId="9" fillId="0" borderId="12" xfId="161" applyFont="1" applyFill="1" applyBorder="1" applyAlignment="1">
      <alignment horizontal="center" vertical="center" wrapText="1"/>
    </xf>
    <xf numFmtId="0" fontId="4" fillId="0" borderId="0" xfId="261" applyNumberFormat="1" applyFont="1" applyFill="1" applyProtection="1">
      <protection locked="0"/>
    </xf>
    <xf numFmtId="179" fontId="4" fillId="0" borderId="12" xfId="261" applyNumberFormat="1" applyBorder="1" applyAlignment="1" applyProtection="1">
      <alignment horizontal="center"/>
      <protection locked="0"/>
    </xf>
    <xf numFmtId="0" fontId="3" fillId="0" borderId="12" xfId="0" applyNumberFormat="1" applyFont="1" applyFill="1" applyBorder="1" applyAlignment="1">
      <alignment horizontal="center" vertical="center" wrapText="1"/>
    </xf>
    <xf numFmtId="178" fontId="9" fillId="0" borderId="12" xfId="161" applyNumberFormat="1" applyFont="1" applyFill="1" applyBorder="1" applyAlignment="1">
      <alignment horizontal="center" vertical="center"/>
    </xf>
    <xf numFmtId="0" fontId="1" fillId="0" borderId="12" xfId="166" applyFont="1" applyFill="1" applyBorder="1" applyAlignment="1">
      <alignment horizontal="center" vertical="center" wrapText="1"/>
    </xf>
    <xf numFmtId="0" fontId="4" fillId="0" borderId="18" xfId="223" applyFill="1" applyBorder="1"/>
    <xf numFmtId="179" fontId="38" fillId="0" borderId="0" xfId="261" applyNumberFormat="1" applyFont="1" applyProtection="1">
      <protection locked="0"/>
    </xf>
    <xf numFmtId="179" fontId="39" fillId="0" borderId="0" xfId="261" applyNumberFormat="1" applyFont="1" applyFill="1" applyProtection="1">
      <protection locked="0"/>
    </xf>
    <xf numFmtId="179" fontId="38" fillId="0" borderId="0" xfId="261" applyNumberFormat="1" applyFont="1" applyFill="1" applyProtection="1">
      <protection locked="0"/>
    </xf>
    <xf numFmtId="179" fontId="38" fillId="0" borderId="0" xfId="261" applyNumberFormat="1" applyFont="1" applyFill="1" applyBorder="1" applyProtection="1">
      <protection locked="0"/>
    </xf>
    <xf numFmtId="179" fontId="38" fillId="24" borderId="0" xfId="261" applyNumberFormat="1" applyFont="1" applyFill="1" applyProtection="1">
      <protection locked="0"/>
    </xf>
    <xf numFmtId="179" fontId="40" fillId="0" borderId="0" xfId="261" applyNumberFormat="1" applyFont="1" applyFill="1" applyAlignment="1" applyProtection="1">
      <alignment horizontal="right" vertical="center"/>
      <protection locked="0"/>
    </xf>
    <xf numFmtId="0" fontId="36" fillId="0" borderId="12" xfId="261" applyNumberFormat="1" applyFont="1" applyFill="1" applyBorder="1" applyAlignment="1" applyProtection="1">
      <alignment horizontal="center" vertical="center" wrapText="1"/>
      <protection locked="0"/>
    </xf>
    <xf numFmtId="179" fontId="36" fillId="0" borderId="12" xfId="261" applyNumberFormat="1" applyFont="1" applyFill="1" applyBorder="1" applyAlignment="1" applyProtection="1">
      <alignment horizontal="center" vertical="center" wrapText="1"/>
      <protection locked="0"/>
    </xf>
    <xf numFmtId="179" fontId="34" fillId="0" borderId="0" xfId="261" applyNumberFormat="1" applyFont="1" applyFill="1" applyAlignment="1" applyProtection="1">
      <alignment horizontal="center"/>
      <protection locked="0"/>
    </xf>
    <xf numFmtId="179" fontId="7" fillId="0" borderId="0" xfId="261" applyNumberFormat="1" applyFont="1" applyFill="1" applyAlignment="1" applyProtection="1">
      <alignment horizontal="left" vertical="center"/>
      <protection locked="0"/>
    </xf>
    <xf numFmtId="0" fontId="36" fillId="0" borderId="14" xfId="261" applyNumberFormat="1" applyFont="1" applyFill="1" applyBorder="1" applyAlignment="1" applyProtection="1">
      <alignment horizontal="center" vertical="center" wrapText="1"/>
      <protection locked="0"/>
    </xf>
    <xf numFmtId="0" fontId="36" fillId="0" borderId="17" xfId="261" applyNumberFormat="1" applyFont="1" applyFill="1" applyBorder="1" applyAlignment="1" applyProtection="1">
      <alignment horizontal="center" vertical="center" wrapText="1"/>
      <protection locked="0"/>
    </xf>
    <xf numFmtId="0" fontId="36" fillId="24" borderId="14" xfId="261" applyNumberFormat="1" applyFont="1" applyFill="1" applyBorder="1" applyAlignment="1" applyProtection="1">
      <alignment horizontal="center" vertical="center" wrapText="1"/>
      <protection locked="0"/>
    </xf>
    <xf numFmtId="0" fontId="36" fillId="24" borderId="17" xfId="261" applyNumberFormat="1" applyFont="1" applyFill="1" applyBorder="1" applyAlignment="1" applyProtection="1">
      <alignment horizontal="center" vertical="center" wrapText="1"/>
      <protection locked="0"/>
    </xf>
    <xf numFmtId="0" fontId="36" fillId="0" borderId="15" xfId="261" applyNumberFormat="1" applyFont="1" applyFill="1" applyBorder="1" applyAlignment="1" applyProtection="1">
      <alignment horizontal="center" vertical="center" wrapText="1"/>
      <protection locked="0"/>
    </xf>
    <xf numFmtId="0" fontId="36" fillId="0" borderId="13" xfId="261" applyNumberFormat="1" applyFont="1" applyFill="1" applyBorder="1" applyAlignment="1" applyProtection="1">
      <alignment horizontal="center" vertical="center" wrapText="1"/>
      <protection locked="0"/>
    </xf>
    <xf numFmtId="0" fontId="36" fillId="0" borderId="16" xfId="261" applyNumberFormat="1" applyFont="1" applyFill="1" applyBorder="1" applyAlignment="1" applyProtection="1">
      <alignment horizontal="center" vertical="center" wrapText="1"/>
      <protection locked="0"/>
    </xf>
    <xf numFmtId="0" fontId="9" fillId="0" borderId="12" xfId="161" applyFont="1" applyFill="1" applyBorder="1" applyAlignment="1">
      <alignment horizontal="center" vertical="center"/>
    </xf>
    <xf numFmtId="0" fontId="8" fillId="0" borderId="0" xfId="161" applyFont="1" applyFill="1" applyAlignment="1">
      <alignment horizontal="center" vertical="center"/>
    </xf>
    <xf numFmtId="0" fontId="4" fillId="0" borderId="1" xfId="161" applyFont="1" applyFill="1" applyBorder="1" applyAlignment="1">
      <alignment horizontal="right" vertical="center"/>
    </xf>
    <xf numFmtId="0" fontId="4" fillId="0" borderId="0" xfId="223" applyFont="1" applyFill="1" applyAlignment="1">
      <alignment horizontal="left" vertical="center" wrapText="1"/>
    </xf>
    <xf numFmtId="0" fontId="4" fillId="0" borderId="0" xfId="161" applyFont="1" applyFill="1" applyBorder="1" applyAlignment="1">
      <alignment horizontal="right" vertical="center"/>
    </xf>
    <xf numFmtId="0" fontId="9" fillId="0" borderId="15" xfId="161" applyFont="1" applyFill="1" applyBorder="1" applyAlignment="1">
      <alignment horizontal="center" vertical="center"/>
    </xf>
    <xf numFmtId="0" fontId="9" fillId="0" borderId="2" xfId="161" applyFont="1" applyFill="1" applyBorder="1" applyAlignment="1">
      <alignment horizontal="center" vertical="center"/>
    </xf>
    <xf numFmtId="0" fontId="9" fillId="0" borderId="16" xfId="161" applyFont="1" applyFill="1" applyBorder="1" applyAlignment="1">
      <alignment horizontal="center" vertical="center"/>
    </xf>
  </cellXfs>
  <cellStyles count="262">
    <cellStyle name="20% - 强调文字颜色 1 2" xfId="1"/>
    <cellStyle name="20% - 强调文字颜色 1 2 2" xfId="37"/>
    <cellStyle name="20% - 强调文字颜色 1 3" xfId="31"/>
    <cellStyle name="20% - 强调文字颜色 2 2" xfId="39"/>
    <cellStyle name="20% - 强调文字颜色 2 2 2" xfId="8"/>
    <cellStyle name="20% - 强调文字颜色 2 3" xfId="22"/>
    <cellStyle name="20% - 强调文字颜色 3 2" xfId="35"/>
    <cellStyle name="20% - 强调文字颜色 3 2 2" xfId="6"/>
    <cellStyle name="20% - 强调文字颜色 3 3" xfId="23"/>
    <cellStyle name="20% - 强调文字颜色 4 2" xfId="41"/>
    <cellStyle name="20% - 强调文字颜色 4 2 2" xfId="30"/>
    <cellStyle name="20% - 强调文字颜色 4 3" xfId="43"/>
    <cellStyle name="20% - 强调文字颜色 5 2" xfId="44"/>
    <cellStyle name="20% - 强调文字颜色 5 2 2" xfId="45"/>
    <cellStyle name="20% - 强调文字颜色 5 3" xfId="15"/>
    <cellStyle name="20% - 强调文字颜色 6 2" xfId="46"/>
    <cellStyle name="20% - 强调文字颜色 6 2 2" xfId="47"/>
    <cellStyle name="20% - 强调文字颜色 6 3" xfId="48"/>
    <cellStyle name="40% - 强调文字颜色 1 2" xfId="49"/>
    <cellStyle name="40% - 强调文字颜色 1 2 2" xfId="50"/>
    <cellStyle name="40% - 强调文字颜色 1 3" xfId="52"/>
    <cellStyle name="40% - 强调文字颜色 2 2" xfId="54"/>
    <cellStyle name="40% - 强调文字颜色 2 2 2" xfId="55"/>
    <cellStyle name="40% - 强调文字颜色 2 3" xfId="56"/>
    <cellStyle name="40% - 强调文字颜色 3 2" xfId="59"/>
    <cellStyle name="40% - 强调文字颜色 3 2 2" xfId="61"/>
    <cellStyle name="40% - 强调文字颜色 3 3" xfId="63"/>
    <cellStyle name="40% - 强调文字颜色 4 2" xfId="17"/>
    <cellStyle name="40% - 强调文字颜色 4 2 2" xfId="66"/>
    <cellStyle name="40% - 强调文字颜色 4 3" xfId="68"/>
    <cellStyle name="40% - 强调文字颜色 5 2" xfId="69"/>
    <cellStyle name="40% - 强调文字颜色 5 2 2" xfId="71"/>
    <cellStyle name="40% - 强调文字颜色 5 3" xfId="72"/>
    <cellStyle name="40% - 强调文字颜色 6 2" xfId="74"/>
    <cellStyle name="40% - 强调文字颜色 6 2 2" xfId="75"/>
    <cellStyle name="40% - 强调文字颜色 6 3" xfId="77"/>
    <cellStyle name="60% - 强调文字颜色 1 2" xfId="79"/>
    <cellStyle name="60% - 强调文字颜色 1 2 2" xfId="81"/>
    <cellStyle name="60% - 强调文字颜色 1 3" xfId="82"/>
    <cellStyle name="60% - 强调文字颜色 2 2" xfId="84"/>
    <cellStyle name="60% - 强调文字颜色 2 2 2" xfId="13"/>
    <cellStyle name="60% - 强调文字颜色 2 3" xfId="10"/>
    <cellStyle name="60% - 强调文字颜色 3 2" xfId="85"/>
    <cellStyle name="60% - 强调文字颜色 3 2 2" xfId="86"/>
    <cellStyle name="60% - 强调文字颜色 3 3" xfId="87"/>
    <cellStyle name="60% - 强调文字颜色 4 2" xfId="88"/>
    <cellStyle name="60% - 强调文字颜色 4 2 2" xfId="89"/>
    <cellStyle name="60% - 强调文字颜色 4 3" xfId="70"/>
    <cellStyle name="60% - 强调文字颜色 5 2" xfId="90"/>
    <cellStyle name="60% - 强调文字颜色 5 2 2" xfId="91"/>
    <cellStyle name="60% - 强调文字颜色 5 3" xfId="92"/>
    <cellStyle name="60% - 强调文字颜色 6 2" xfId="93"/>
    <cellStyle name="60% - 强调文字颜色 6 2 2" xfId="94"/>
    <cellStyle name="60% - 强调文字颜色 6 3" xfId="95"/>
    <cellStyle name="ColLevel_1" xfId="97"/>
    <cellStyle name="Normal" xfId="98"/>
    <cellStyle name="RowLevel_1" xfId="101"/>
    <cellStyle name="标题 1 2" xfId="103"/>
    <cellStyle name="标题 1 2 2" xfId="105"/>
    <cellStyle name="标题 1 3" xfId="107"/>
    <cellStyle name="标题 2 2" xfId="109"/>
    <cellStyle name="标题 2 2 2" xfId="110"/>
    <cellStyle name="标题 2 3" xfId="112"/>
    <cellStyle name="标题 3 2" xfId="114"/>
    <cellStyle name="标题 3 2 2" xfId="115"/>
    <cellStyle name="标题 3 3" xfId="116"/>
    <cellStyle name="标题 4 2" xfId="118"/>
    <cellStyle name="标题 4 2 2" xfId="119"/>
    <cellStyle name="标题 4 3" xfId="121"/>
    <cellStyle name="标题 5" xfId="123"/>
    <cellStyle name="标题 5 2" xfId="124"/>
    <cellStyle name="标题 6" xfId="125"/>
    <cellStyle name="差 2" xfId="126"/>
    <cellStyle name="差 2 2" xfId="127"/>
    <cellStyle name="差 3" xfId="128"/>
    <cellStyle name="差_53F959C04E7B40FDA383BD435F224A26" xfId="129"/>
    <cellStyle name="差_53F959C04E7B40FDA383BD435F224A26 2" xfId="131"/>
    <cellStyle name="差_53F959C04E7B40FDA383BD435F224A26 2 2" xfId="133"/>
    <cellStyle name="差_CC0D306ED90642F2AFB786D90624FCF6" xfId="134"/>
    <cellStyle name="差_CC0D306ED90642F2AFB786D90624FCF6 2" xfId="135"/>
    <cellStyle name="差_CC0D306ED90642F2AFB786D90624FCF6 2 2" xfId="137"/>
    <cellStyle name="差_潮南区2014年（9）月收支进度表" xfId="138"/>
    <cellStyle name="常规" xfId="0" builtinId="0"/>
    <cellStyle name="常规 10" xfId="139"/>
    <cellStyle name="常规 10 2" xfId="140"/>
    <cellStyle name="常规 10 3" xfId="141"/>
    <cellStyle name="常规 11" xfId="142"/>
    <cellStyle name="常规 12" xfId="143"/>
    <cellStyle name="常规 13" xfId="144"/>
    <cellStyle name="常规 14" xfId="145"/>
    <cellStyle name="常规 15" xfId="146"/>
    <cellStyle name="常规 16" xfId="147"/>
    <cellStyle name="常规 2" xfId="96"/>
    <cellStyle name="常规 2 2" xfId="148"/>
    <cellStyle name="常规 2 2 2" xfId="149"/>
    <cellStyle name="常规 2 2 2 2" xfId="150"/>
    <cellStyle name="常规 2 2 2 2 2" xfId="151"/>
    <cellStyle name="常规 2 2 2 2 2 2" xfId="152"/>
    <cellStyle name="常规 2 2 2 2 3" xfId="153"/>
    <cellStyle name="常规 2 2 2 2 3 2" xfId="154"/>
    <cellStyle name="常规 2 2 2 2 4" xfId="113"/>
    <cellStyle name="常规 2 2 2 3" xfId="155"/>
    <cellStyle name="常规 2 2 2 3 2" xfId="156"/>
    <cellStyle name="常规 2 2 2 3 2 2" xfId="157"/>
    <cellStyle name="常规 2 2 2 3 3" xfId="159"/>
    <cellStyle name="常规 2 2 2 3 3 2" xfId="162"/>
    <cellStyle name="常规 2 2 2 3 4" xfId="117"/>
    <cellStyle name="常规 2 2 2 4" xfId="25"/>
    <cellStyle name="常规 2 2 2 4 2" xfId="100"/>
    <cellStyle name="常规 2 2 2 5" xfId="19"/>
    <cellStyle name="常规 2 2 2 5 2" xfId="164"/>
    <cellStyle name="常规 2 2 2 6" xfId="28"/>
    <cellStyle name="常规 2 2 3" xfId="165"/>
    <cellStyle name="常规 2 2 3 2" xfId="167"/>
    <cellStyle name="常规 2 2 3 2 2" xfId="168"/>
    <cellStyle name="常规 2 2 3 3" xfId="169"/>
    <cellStyle name="常规 2 2 3 3 2" xfId="170"/>
    <cellStyle name="常规 2 2 3 4" xfId="171"/>
    <cellStyle name="常规 2 2 4" xfId="3"/>
    <cellStyle name="常规 2 2 4 2" xfId="172"/>
    <cellStyle name="常规 2 2 4 2 2" xfId="173"/>
    <cellStyle name="常规 2 2 4 3" xfId="130"/>
    <cellStyle name="常规 2 2 4 3 2" xfId="132"/>
    <cellStyle name="常规 2 2 4 4" xfId="174"/>
    <cellStyle name="常规 2 2 5" xfId="175"/>
    <cellStyle name="常规 2 2 5 2" xfId="176"/>
    <cellStyle name="常规 2 2 6" xfId="102"/>
    <cellStyle name="常规 2 2 6 2" xfId="104"/>
    <cellStyle name="常规 2 2 7" xfId="106"/>
    <cellStyle name="常规 2 2 8" xfId="177"/>
    <cellStyle name="常规 2 3" xfId="179"/>
    <cellStyle name="常规 2 3 2" xfId="180"/>
    <cellStyle name="常规 2 3 2 2" xfId="181"/>
    <cellStyle name="常规 2 3 2 2 2" xfId="182"/>
    <cellStyle name="常规 2 3 2 3" xfId="36"/>
    <cellStyle name="常规 2 3 2 3 2" xfId="122"/>
    <cellStyle name="常规 2 3 2 4" xfId="53"/>
    <cellStyle name="常规 2 3 3" xfId="183"/>
    <cellStyle name="常规 2 3 3 2" xfId="184"/>
    <cellStyle name="常规 2 3 3 2 2" xfId="185"/>
    <cellStyle name="常规 2 3 3 3" xfId="186"/>
    <cellStyle name="常规 2 3 3 3 2" xfId="187"/>
    <cellStyle name="常规 2 3 3 4" xfId="58"/>
    <cellStyle name="常规 2 3 4" xfId="188"/>
    <cellStyle name="常规 2 3 4 2" xfId="189"/>
    <cellStyle name="常规 2 3 5" xfId="190"/>
    <cellStyle name="常规 2 3 5 2" xfId="191"/>
    <cellStyle name="常规 2 3 6" xfId="108"/>
    <cellStyle name="常规 2 3 7" xfId="111"/>
    <cellStyle name="常规 2 4" xfId="192"/>
    <cellStyle name="常规 2 5" xfId="194"/>
    <cellStyle name="常规 2 5 2" xfId="196"/>
    <cellStyle name="常规 2 6" xfId="198"/>
    <cellStyle name="常规 2 7" xfId="199"/>
    <cellStyle name="常规 2 8" xfId="201"/>
    <cellStyle name="常规 2_澄海区--2016年   月置换债券使用台账" xfId="203"/>
    <cellStyle name="常规 3" xfId="40"/>
    <cellStyle name="常规 3 2" xfId="29"/>
    <cellStyle name="常规 3 2 2" xfId="204"/>
    <cellStyle name="常规 4" xfId="42"/>
    <cellStyle name="常规 4 2" xfId="205"/>
    <cellStyle name="常规 4 3" xfId="206"/>
    <cellStyle name="常规 4 3 2" xfId="208"/>
    <cellStyle name="常规 5" xfId="83"/>
    <cellStyle name="常规 5 2" xfId="12"/>
    <cellStyle name="常规 5 2 2" xfId="14"/>
    <cellStyle name="常规 5 3" xfId="209"/>
    <cellStyle name="常规 5 3 2" xfId="210"/>
    <cellStyle name="常规 5 4" xfId="207"/>
    <cellStyle name="常规 5 5" xfId="211"/>
    <cellStyle name="常规 6" xfId="9"/>
    <cellStyle name="常规 6 2" xfId="213"/>
    <cellStyle name="常规 6 3" xfId="215"/>
    <cellStyle name="常规 7" xfId="216"/>
    <cellStyle name="常规 7 2" xfId="217"/>
    <cellStyle name="常规 7 3" xfId="5"/>
    <cellStyle name="常规 8" xfId="218"/>
    <cellStyle name="常规 8 2" xfId="24"/>
    <cellStyle name="常规 8 3" xfId="18"/>
    <cellStyle name="常规 9" xfId="219"/>
    <cellStyle name="常规 9 2" xfId="51"/>
    <cellStyle name="常规 9 3" xfId="220"/>
    <cellStyle name="常规_Sheet1 2 3" xfId="161"/>
    <cellStyle name="常规_Sheet1_潮南区2014年财政预算收支明细表（终 2" xfId="166"/>
    <cellStyle name="常规_潮南区2014年财政预算收支明细表" xfId="261"/>
    <cellStyle name="常规_潮南区2015年财政预算收支明细表 2" xfId="223"/>
    <cellStyle name="好 2" xfId="224"/>
    <cellStyle name="好 2 2" xfId="225"/>
    <cellStyle name="好 3" xfId="202"/>
    <cellStyle name="好_53F959C04E7B40FDA383BD435F224A26" xfId="78"/>
    <cellStyle name="好_53F959C04E7B40FDA383BD435F224A26 2" xfId="80"/>
    <cellStyle name="好_53F959C04E7B40FDA383BD435F224A26 2 2" xfId="226"/>
    <cellStyle name="好_CC0D306ED90642F2AFB786D90624FCF6" xfId="227"/>
    <cellStyle name="好_CC0D306ED90642F2AFB786D90624FCF6 2" xfId="228"/>
    <cellStyle name="好_CC0D306ED90642F2AFB786D90624FCF6 2 2" xfId="229"/>
    <cellStyle name="好_潮南区2014年（9）月收支进度表" xfId="136"/>
    <cellStyle name="汇总 2" xfId="230"/>
    <cellStyle name="汇总 2 2" xfId="120"/>
    <cellStyle name="汇总 2 2 2" xfId="231"/>
    <cellStyle name="汇总 2 3" xfId="65"/>
    <cellStyle name="汇总 3" xfId="232"/>
    <cellStyle name="汇总 3 2" xfId="233"/>
    <cellStyle name="计算 2" xfId="4"/>
    <cellStyle name="计算 2 2" xfId="57"/>
    <cellStyle name="计算 2 2 2" xfId="60"/>
    <cellStyle name="计算 2 3" xfId="62"/>
    <cellStyle name="计算 3" xfId="32"/>
    <cellStyle name="计算 3 2" xfId="16"/>
    <cellStyle name="检查单元格 2" xfId="64"/>
    <cellStyle name="检查单元格 2 2" xfId="234"/>
    <cellStyle name="检查单元格 3" xfId="221"/>
    <cellStyle name="解释性文本 2" xfId="235"/>
    <cellStyle name="解释性文本 2 2" xfId="11"/>
    <cellStyle name="解释性文本 3" xfId="236"/>
    <cellStyle name="警告文本 2" xfId="237"/>
    <cellStyle name="警告文本 2 2" xfId="238"/>
    <cellStyle name="警告文本 3" xfId="222"/>
    <cellStyle name="链接单元格 2" xfId="239"/>
    <cellStyle name="链接单元格 2 2" xfId="240"/>
    <cellStyle name="链接单元格 3" xfId="26"/>
    <cellStyle name="千位分隔 2" xfId="158"/>
    <cellStyle name="千位分隔 2 2" xfId="160"/>
    <cellStyle name="强调文字颜色 1 2" xfId="99"/>
    <cellStyle name="强调文字颜色 1 2 2" xfId="241"/>
    <cellStyle name="强调文字颜色 1 3" xfId="242"/>
    <cellStyle name="强调文字颜色 2 2" xfId="163"/>
    <cellStyle name="强调文字颜色 2 2 2" xfId="243"/>
    <cellStyle name="强调文字颜色 2 3" xfId="244"/>
    <cellStyle name="强调文字颜色 3 2" xfId="245"/>
    <cellStyle name="强调文字颜色 3 2 2" xfId="76"/>
    <cellStyle name="强调文字颜色 3 3" xfId="246"/>
    <cellStyle name="强调文字颜色 4 2" xfId="193"/>
    <cellStyle name="强调文字颜色 4 2 2" xfId="195"/>
    <cellStyle name="强调文字颜色 4 3" xfId="197"/>
    <cellStyle name="强调文字颜色 5 2" xfId="247"/>
    <cellStyle name="强调文字颜色 5 2 2" xfId="248"/>
    <cellStyle name="强调文字颜色 5 3" xfId="249"/>
    <cellStyle name="强调文字颜色 6 2" xfId="250"/>
    <cellStyle name="强调文字颜色 6 2 2" xfId="251"/>
    <cellStyle name="强调文字颜色 6 3" xfId="252"/>
    <cellStyle name="适中 2" xfId="33"/>
    <cellStyle name="适中 2 2" xfId="73"/>
    <cellStyle name="适中 3" xfId="253"/>
    <cellStyle name="输出 2" xfId="27"/>
    <cellStyle name="输出 2 2" xfId="38"/>
    <cellStyle name="输出 2 2 2" xfId="7"/>
    <cellStyle name="输出 2 3" xfId="21"/>
    <cellStyle name="输出 3" xfId="2"/>
    <cellStyle name="输出 3 2" xfId="34"/>
    <cellStyle name="输入 2" xfId="200"/>
    <cellStyle name="输入 2 2" xfId="254"/>
    <cellStyle name="输入 2 2 2" xfId="67"/>
    <cellStyle name="输入 2 3" xfId="255"/>
    <cellStyle name="输入 3" xfId="256"/>
    <cellStyle name="输入 3 2" xfId="178"/>
    <cellStyle name="样式 1" xfId="257"/>
    <cellStyle name="注释 2" xfId="212"/>
    <cellStyle name="注释 2 2" xfId="258"/>
    <cellStyle name="注释 2 2 2" xfId="259"/>
    <cellStyle name="注释 2 3" xfId="20"/>
    <cellStyle name="注释 3" xfId="214"/>
    <cellStyle name="注释 3 2" xfId="2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N35"/>
  <sheetViews>
    <sheetView showZeros="0" zoomScale="115" zoomScaleNormal="115" workbookViewId="0">
      <selection activeCell="N5" sqref="N5"/>
    </sheetView>
  </sheetViews>
  <sheetFormatPr defaultColWidth="9" defaultRowHeight="14.25"/>
  <cols>
    <col min="1" max="1" width="4.875" style="27" customWidth="1"/>
    <col min="2" max="2" width="21.125" style="27" customWidth="1"/>
    <col min="3" max="5" width="9.125" style="27" customWidth="1"/>
    <col min="6" max="6" width="9.125" style="39" customWidth="1"/>
    <col min="7" max="8" width="9.125" style="40" hidden="1" customWidth="1"/>
    <col min="9" max="9" width="9.125" style="27" customWidth="1"/>
    <col min="10" max="10" width="8.75" style="27" customWidth="1"/>
    <col min="11" max="12" width="8.75" style="39" customWidth="1"/>
    <col min="13" max="13" width="29.75" style="27" customWidth="1"/>
    <col min="14" max="14" width="16.375" style="27" customWidth="1"/>
    <col min="15" max="15" width="12" style="27" customWidth="1"/>
    <col min="16" max="16384" width="9" style="27"/>
  </cols>
  <sheetData>
    <row r="1" spans="1:14" s="25" customFormat="1" ht="20.100000000000001" customHeight="1">
      <c r="A1" s="71" t="s">
        <v>86</v>
      </c>
      <c r="B1" s="71"/>
      <c r="C1" s="23"/>
      <c r="D1" s="23"/>
      <c r="E1" s="23"/>
      <c r="F1" s="23"/>
      <c r="G1" s="24"/>
      <c r="H1" s="24"/>
      <c r="I1" s="23"/>
      <c r="J1" s="23"/>
      <c r="K1" s="23"/>
      <c r="L1" s="23"/>
      <c r="M1" s="23"/>
      <c r="N1" s="23"/>
    </row>
    <row r="2" spans="1:14" ht="26.25" customHeight="1">
      <c r="A2" s="70" t="s">
        <v>99</v>
      </c>
      <c r="B2" s="70"/>
      <c r="C2" s="70"/>
      <c r="D2" s="70"/>
      <c r="E2" s="70"/>
      <c r="F2" s="70"/>
      <c r="G2" s="70"/>
      <c r="H2" s="70"/>
      <c r="I2" s="70"/>
      <c r="J2" s="70"/>
      <c r="K2" s="70"/>
      <c r="L2" s="70"/>
      <c r="M2" s="70"/>
      <c r="N2" s="26"/>
    </row>
    <row r="3" spans="1:14" s="62" customFormat="1" ht="12.75" customHeight="1">
      <c r="B3" s="63"/>
      <c r="C3" s="64"/>
      <c r="D3" s="65"/>
      <c r="E3" s="65"/>
      <c r="F3" s="64"/>
      <c r="G3" s="66"/>
      <c r="H3" s="66"/>
      <c r="I3" s="64"/>
      <c r="J3" s="64"/>
      <c r="K3" s="64"/>
      <c r="L3" s="64"/>
      <c r="M3" s="67" t="s">
        <v>151</v>
      </c>
      <c r="N3" s="64"/>
    </row>
    <row r="4" spans="1:14" ht="23.1" customHeight="1">
      <c r="A4" s="69" t="s">
        <v>87</v>
      </c>
      <c r="B4" s="69"/>
      <c r="C4" s="69" t="s">
        <v>100</v>
      </c>
      <c r="D4" s="72" t="s">
        <v>132</v>
      </c>
      <c r="E4" s="68" t="s">
        <v>88</v>
      </c>
      <c r="F4" s="68" t="s">
        <v>89</v>
      </c>
      <c r="G4" s="74" t="s">
        <v>90</v>
      </c>
      <c r="H4" s="74" t="s">
        <v>91</v>
      </c>
      <c r="I4" s="68" t="s">
        <v>92</v>
      </c>
      <c r="J4" s="76" t="s">
        <v>93</v>
      </c>
      <c r="K4" s="77"/>
      <c r="L4" s="78"/>
      <c r="M4" s="68" t="s">
        <v>94</v>
      </c>
      <c r="N4" s="26"/>
    </row>
    <row r="5" spans="1:14" ht="23.1" customHeight="1">
      <c r="A5" s="69"/>
      <c r="B5" s="69"/>
      <c r="C5" s="69"/>
      <c r="D5" s="73"/>
      <c r="E5" s="68"/>
      <c r="F5" s="68"/>
      <c r="G5" s="75"/>
      <c r="H5" s="75"/>
      <c r="I5" s="68"/>
      <c r="J5" s="28" t="s">
        <v>95</v>
      </c>
      <c r="K5" s="28" t="s">
        <v>96</v>
      </c>
      <c r="L5" s="28" t="s">
        <v>97</v>
      </c>
      <c r="M5" s="68"/>
      <c r="N5" s="26"/>
    </row>
    <row r="6" spans="1:14" ht="23.1" customHeight="1">
      <c r="A6" s="57"/>
      <c r="B6" s="29" t="s">
        <v>95</v>
      </c>
      <c r="C6" s="30">
        <f t="shared" ref="C6:I6" si="0">SUM(C7:C31)</f>
        <v>336970.84907499992</v>
      </c>
      <c r="D6" s="30">
        <f t="shared" si="0"/>
        <v>248065.96019999997</v>
      </c>
      <c r="E6" s="30">
        <f t="shared" si="0"/>
        <v>87880.361086999954</v>
      </c>
      <c r="F6" s="30">
        <f>SUM(F7:F31)</f>
        <v>38610.360814480002</v>
      </c>
      <c r="G6" s="31">
        <f t="shared" si="0"/>
        <v>17623.860814479998</v>
      </c>
      <c r="H6" s="31">
        <f t="shared" si="0"/>
        <v>20986.5</v>
      </c>
      <c r="I6" s="30">
        <f t="shared" si="0"/>
        <v>286676.32101448003</v>
      </c>
      <c r="J6" s="30">
        <f>K6-L6</f>
        <v>-49246.184159519995</v>
      </c>
      <c r="K6" s="30">
        <f>SUM(K7:K30)</f>
        <v>12937.054159509998</v>
      </c>
      <c r="L6" s="30">
        <f>SUM(L7:L30)</f>
        <v>62183.238319029995</v>
      </c>
      <c r="M6" s="32"/>
      <c r="N6" s="26"/>
    </row>
    <row r="7" spans="1:14" ht="27.95" customHeight="1">
      <c r="A7" s="58">
        <v>201</v>
      </c>
      <c r="B7" s="41" t="s">
        <v>101</v>
      </c>
      <c r="C7" s="33">
        <v>52492.071469999995</v>
      </c>
      <c r="D7" s="34">
        <v>41630.674700000003</v>
      </c>
      <c r="E7" s="34">
        <f t="shared" ref="E7:E13" si="1">C7-D7</f>
        <v>10861.396769999992</v>
      </c>
      <c r="F7" s="34">
        <f>G7+H7</f>
        <v>4962.0057567100002</v>
      </c>
      <c r="G7" s="35">
        <f>D7*0.0693+850</f>
        <v>3735.0057567100002</v>
      </c>
      <c r="H7" s="35">
        <f>818*1.5</f>
        <v>1227</v>
      </c>
      <c r="I7" s="34">
        <f>D7+F7</f>
        <v>46592.680456710004</v>
      </c>
      <c r="J7" s="36">
        <f t="shared" ref="J7:J30" si="2">K7-L7</f>
        <v>-5899.391013289991</v>
      </c>
      <c r="K7" s="34">
        <f t="shared" ref="K7:K13" si="3">IF((I7-C7)&gt;0,(I7-C7),0)</f>
        <v>0</v>
      </c>
      <c r="L7" s="34">
        <f t="shared" ref="L7:L13" si="4">IF((C7-I7)&gt;0,(C7-I7),0)</f>
        <v>5899.391013289991</v>
      </c>
      <c r="M7" s="37"/>
      <c r="N7" s="26"/>
    </row>
    <row r="8" spans="1:14" ht="27.95" customHeight="1">
      <c r="A8" s="58">
        <v>203</v>
      </c>
      <c r="B8" s="41" t="s">
        <v>102</v>
      </c>
      <c r="C8" s="33">
        <v>205.6</v>
      </c>
      <c r="D8" s="34">
        <v>81.381399999999999</v>
      </c>
      <c r="E8" s="34">
        <f t="shared" si="1"/>
        <v>124.2186</v>
      </c>
      <c r="F8" s="34">
        <f t="shared" ref="F8:F31" si="5">G8+H8</f>
        <v>70.639731019999999</v>
      </c>
      <c r="G8" s="35">
        <f t="shared" ref="G8:G26" si="6">D8*0.0693</f>
        <v>5.6397310200000002</v>
      </c>
      <c r="H8" s="35">
        <v>65</v>
      </c>
      <c r="I8" s="34">
        <f t="shared" ref="I8:I31" si="7">D8+F8</f>
        <v>152.02113101999998</v>
      </c>
      <c r="J8" s="36">
        <f t="shared" si="2"/>
        <v>-53.57886898000001</v>
      </c>
      <c r="K8" s="34">
        <f t="shared" si="3"/>
        <v>0</v>
      </c>
      <c r="L8" s="34">
        <f t="shared" si="4"/>
        <v>53.57886898000001</v>
      </c>
      <c r="M8" s="37"/>
      <c r="N8" s="26"/>
    </row>
    <row r="9" spans="1:14" ht="27.95" customHeight="1">
      <c r="A9" s="58">
        <v>204</v>
      </c>
      <c r="B9" s="41" t="s">
        <v>103</v>
      </c>
      <c r="C9" s="33">
        <v>22229.647788000002</v>
      </c>
      <c r="D9" s="34">
        <v>18346.7431</v>
      </c>
      <c r="E9" s="34">
        <f t="shared" si="1"/>
        <v>3882.9046880000024</v>
      </c>
      <c r="F9" s="34">
        <f t="shared" si="5"/>
        <v>1748.4292968299999</v>
      </c>
      <c r="G9" s="35">
        <f t="shared" si="6"/>
        <v>1271.4292968299999</v>
      </c>
      <c r="H9" s="35">
        <f>318*1.5</f>
        <v>477</v>
      </c>
      <c r="I9" s="34">
        <f t="shared" si="7"/>
        <v>20095.172396829999</v>
      </c>
      <c r="J9" s="36">
        <f t="shared" si="2"/>
        <v>-2134.4753911700027</v>
      </c>
      <c r="K9" s="34">
        <f t="shared" si="3"/>
        <v>0</v>
      </c>
      <c r="L9" s="34">
        <f t="shared" si="4"/>
        <v>2134.4753911700027</v>
      </c>
      <c r="M9" s="37"/>
      <c r="N9" s="26"/>
    </row>
    <row r="10" spans="1:14" ht="27.95" customHeight="1">
      <c r="A10" s="58">
        <v>205</v>
      </c>
      <c r="B10" s="41" t="s">
        <v>104</v>
      </c>
      <c r="C10" s="33">
        <v>104936.989736</v>
      </c>
      <c r="D10" s="34">
        <v>88034.854399999997</v>
      </c>
      <c r="E10" s="34">
        <f t="shared" si="1"/>
        <v>16902.135336000007</v>
      </c>
      <c r="F10" s="34">
        <f t="shared" si="5"/>
        <v>7775.3154099200001</v>
      </c>
      <c r="G10" s="35">
        <f t="shared" si="6"/>
        <v>6100.8154099200001</v>
      </c>
      <c r="H10" s="35">
        <f>203*1.5+1370</f>
        <v>1674.5</v>
      </c>
      <c r="I10" s="34">
        <f t="shared" si="7"/>
        <v>95810.16980992</v>
      </c>
      <c r="J10" s="36">
        <f t="shared" si="2"/>
        <v>-9126.8199260800029</v>
      </c>
      <c r="K10" s="34">
        <f t="shared" si="3"/>
        <v>0</v>
      </c>
      <c r="L10" s="34">
        <f t="shared" si="4"/>
        <v>9126.8199260800029</v>
      </c>
      <c r="M10" s="37"/>
      <c r="N10" s="26"/>
    </row>
    <row r="11" spans="1:14" ht="27.95" customHeight="1">
      <c r="A11" s="58">
        <v>206</v>
      </c>
      <c r="B11" s="41" t="s">
        <v>105</v>
      </c>
      <c r="C11" s="33">
        <v>97.703000000000003</v>
      </c>
      <c r="D11" s="34">
        <v>103.8146</v>
      </c>
      <c r="E11" s="34">
        <f t="shared" si="1"/>
        <v>-6.1115999999999957</v>
      </c>
      <c r="F11" s="34">
        <f t="shared" si="5"/>
        <v>19.194351779999998</v>
      </c>
      <c r="G11" s="35">
        <f t="shared" si="6"/>
        <v>7.1943517799999999</v>
      </c>
      <c r="H11" s="35">
        <v>12</v>
      </c>
      <c r="I11" s="34">
        <f t="shared" si="7"/>
        <v>123.00895177999999</v>
      </c>
      <c r="J11" s="36">
        <f t="shared" si="2"/>
        <v>25.305951779999987</v>
      </c>
      <c r="K11" s="34">
        <f t="shared" si="3"/>
        <v>25.305951779999987</v>
      </c>
      <c r="L11" s="34">
        <f t="shared" si="4"/>
        <v>0</v>
      </c>
      <c r="M11" s="37"/>
      <c r="N11" s="26"/>
    </row>
    <row r="12" spans="1:14" ht="27.95" customHeight="1">
      <c r="A12" s="58">
        <v>207</v>
      </c>
      <c r="B12" s="41" t="s">
        <v>106</v>
      </c>
      <c r="C12" s="33">
        <v>1171.5383999999999</v>
      </c>
      <c r="D12" s="34">
        <v>9527.8670000000002</v>
      </c>
      <c r="E12" s="34">
        <f t="shared" si="1"/>
        <v>-8356.3286000000007</v>
      </c>
      <c r="F12" s="34">
        <f t="shared" si="5"/>
        <v>2982.2811830999999</v>
      </c>
      <c r="G12" s="35">
        <f t="shared" si="6"/>
        <v>660.28118310000002</v>
      </c>
      <c r="H12" s="35">
        <f>50+2272</f>
        <v>2322</v>
      </c>
      <c r="I12" s="34">
        <f t="shared" si="7"/>
        <v>12510.1481831</v>
      </c>
      <c r="J12" s="36">
        <f t="shared" si="2"/>
        <v>11338.609783100001</v>
      </c>
      <c r="K12" s="34">
        <f t="shared" si="3"/>
        <v>11338.609783100001</v>
      </c>
      <c r="L12" s="34">
        <f t="shared" si="4"/>
        <v>0</v>
      </c>
      <c r="M12" s="37" t="s">
        <v>127</v>
      </c>
      <c r="N12" s="26"/>
    </row>
    <row r="13" spans="1:14" s="38" customFormat="1" ht="27.95" customHeight="1">
      <c r="A13" s="58">
        <v>208</v>
      </c>
      <c r="B13" s="41" t="s">
        <v>125</v>
      </c>
      <c r="C13" s="33">
        <v>65269.092112999992</v>
      </c>
      <c r="D13" s="34">
        <v>41787.724300000002</v>
      </c>
      <c r="E13" s="34">
        <f t="shared" si="1"/>
        <v>23481.36781299999</v>
      </c>
      <c r="F13" s="34">
        <f t="shared" si="5"/>
        <v>10306.88929399</v>
      </c>
      <c r="G13" s="35">
        <f t="shared" si="6"/>
        <v>2895.8892939900002</v>
      </c>
      <c r="H13" s="35">
        <f>211+7200</f>
        <v>7411</v>
      </c>
      <c r="I13" s="34">
        <f t="shared" si="7"/>
        <v>52094.613593989998</v>
      </c>
      <c r="J13" s="36">
        <f t="shared" si="2"/>
        <v>-13174.478519009994</v>
      </c>
      <c r="K13" s="34">
        <f t="shared" si="3"/>
        <v>0</v>
      </c>
      <c r="L13" s="34">
        <f t="shared" si="4"/>
        <v>13174.478519009994</v>
      </c>
      <c r="M13" s="37"/>
      <c r="N13" s="26"/>
    </row>
    <row r="14" spans="1:14" s="56" customFormat="1" ht="27.95" customHeight="1">
      <c r="A14" s="58">
        <v>209</v>
      </c>
      <c r="B14" s="41" t="s">
        <v>107</v>
      </c>
      <c r="C14" s="33">
        <v>24.527788000000001</v>
      </c>
      <c r="D14" s="34">
        <v>0</v>
      </c>
      <c r="E14" s="34"/>
      <c r="F14" s="34">
        <f t="shared" si="5"/>
        <v>0</v>
      </c>
      <c r="G14" s="34"/>
      <c r="H14" s="34"/>
      <c r="I14" s="34"/>
      <c r="J14" s="36"/>
      <c r="K14" s="34"/>
      <c r="L14" s="34"/>
      <c r="M14" s="37" t="s">
        <v>126</v>
      </c>
      <c r="N14" s="26"/>
    </row>
    <row r="15" spans="1:14" ht="27.95" customHeight="1">
      <c r="A15" s="58">
        <v>210</v>
      </c>
      <c r="B15" s="41" t="s">
        <v>108</v>
      </c>
      <c r="C15" s="33">
        <v>16705.361599999997</v>
      </c>
      <c r="D15" s="34">
        <v>10876.1412</v>
      </c>
      <c r="E15" s="34">
        <f t="shared" ref="E15:E26" si="8">C15-D15</f>
        <v>5829.2203999999965</v>
      </c>
      <c r="F15" s="34">
        <f t="shared" si="5"/>
        <v>942.71658516000002</v>
      </c>
      <c r="G15" s="35">
        <f t="shared" si="6"/>
        <v>753.71658516000002</v>
      </c>
      <c r="H15" s="35">
        <v>189</v>
      </c>
      <c r="I15" s="34">
        <f t="shared" si="7"/>
        <v>11818.85778516</v>
      </c>
      <c r="J15" s="36">
        <f t="shared" si="2"/>
        <v>-4886.5038148399963</v>
      </c>
      <c r="K15" s="34">
        <f t="shared" ref="K15:K21" si="9">IF((I15-C15)&gt;0,(I15-C15),0)</f>
        <v>0</v>
      </c>
      <c r="L15" s="34">
        <f t="shared" ref="L15:L21" si="10">IF((C15-I15)&gt;0,(C15-I15),0)</f>
        <v>4886.5038148399963</v>
      </c>
      <c r="M15" s="37"/>
      <c r="N15" s="26"/>
    </row>
    <row r="16" spans="1:14" ht="27.95" customHeight="1">
      <c r="A16" s="58">
        <v>211</v>
      </c>
      <c r="B16" s="41" t="s">
        <v>109</v>
      </c>
      <c r="C16" s="33">
        <v>1658.6792</v>
      </c>
      <c r="D16" s="34">
        <v>1125.7816</v>
      </c>
      <c r="E16" s="34">
        <f t="shared" si="8"/>
        <v>532.89760000000001</v>
      </c>
      <c r="F16" s="34">
        <f t="shared" si="5"/>
        <v>144.01666488000001</v>
      </c>
      <c r="G16" s="35">
        <f t="shared" si="6"/>
        <v>78.016664880000008</v>
      </c>
      <c r="H16" s="35">
        <v>66</v>
      </c>
      <c r="I16" s="34">
        <f t="shared" si="7"/>
        <v>1269.79826488</v>
      </c>
      <c r="J16" s="36">
        <f t="shared" si="2"/>
        <v>-388.88093512</v>
      </c>
      <c r="K16" s="34">
        <f t="shared" si="9"/>
        <v>0</v>
      </c>
      <c r="L16" s="34">
        <f t="shared" si="10"/>
        <v>388.88093512</v>
      </c>
      <c r="M16" s="37"/>
      <c r="N16" s="26"/>
    </row>
    <row r="17" spans="1:14" ht="27.95" customHeight="1">
      <c r="A17" s="58">
        <v>212</v>
      </c>
      <c r="B17" s="41" t="s">
        <v>110</v>
      </c>
      <c r="C17" s="33">
        <v>5026.9032360000001</v>
      </c>
      <c r="D17" s="34">
        <v>3788.1986000000002</v>
      </c>
      <c r="E17" s="34">
        <f t="shared" si="8"/>
        <v>1238.7046359999999</v>
      </c>
      <c r="F17" s="34">
        <f t="shared" si="5"/>
        <v>1157.5221629800001</v>
      </c>
      <c r="G17" s="35">
        <f t="shared" si="6"/>
        <v>262.52216298000002</v>
      </c>
      <c r="H17" s="35">
        <v>895</v>
      </c>
      <c r="I17" s="34">
        <f t="shared" si="7"/>
        <v>4945.7207629800005</v>
      </c>
      <c r="J17" s="36">
        <f t="shared" si="2"/>
        <v>-81.182473019999634</v>
      </c>
      <c r="K17" s="34">
        <f t="shared" si="9"/>
        <v>0</v>
      </c>
      <c r="L17" s="34">
        <f t="shared" si="10"/>
        <v>81.182473019999634</v>
      </c>
      <c r="M17" s="37"/>
      <c r="N17" s="26"/>
    </row>
    <row r="18" spans="1:14" ht="27.95" customHeight="1">
      <c r="A18" s="58">
        <v>213</v>
      </c>
      <c r="B18" s="41" t="s">
        <v>111</v>
      </c>
      <c r="C18" s="33">
        <v>20399.535693000002</v>
      </c>
      <c r="D18" s="34">
        <v>7181.7664999999997</v>
      </c>
      <c r="E18" s="34">
        <f t="shared" si="8"/>
        <v>13217.769193000002</v>
      </c>
      <c r="F18" s="34">
        <f t="shared" si="5"/>
        <v>2253.6964184500002</v>
      </c>
      <c r="G18" s="35">
        <f t="shared" si="6"/>
        <v>497.69641845000001</v>
      </c>
      <c r="H18" s="35">
        <v>1756</v>
      </c>
      <c r="I18" s="34">
        <f t="shared" si="7"/>
        <v>9435.4629184500009</v>
      </c>
      <c r="J18" s="36">
        <f t="shared" si="2"/>
        <v>-10964.072774550001</v>
      </c>
      <c r="K18" s="34">
        <f t="shared" si="9"/>
        <v>0</v>
      </c>
      <c r="L18" s="34">
        <f t="shared" si="10"/>
        <v>10964.072774550001</v>
      </c>
      <c r="M18" s="37"/>
      <c r="N18" s="26"/>
    </row>
    <row r="19" spans="1:14" ht="27.95" customHeight="1">
      <c r="A19" s="58">
        <v>214</v>
      </c>
      <c r="B19" s="41" t="s">
        <v>112</v>
      </c>
      <c r="C19" s="33">
        <v>1281.8656560000002</v>
      </c>
      <c r="D19" s="34">
        <v>2119.2019</v>
      </c>
      <c r="E19" s="34">
        <f t="shared" si="8"/>
        <v>-837.33624399999985</v>
      </c>
      <c r="F19" s="34">
        <f t="shared" si="5"/>
        <v>366.86069166999999</v>
      </c>
      <c r="G19" s="35">
        <f t="shared" si="6"/>
        <v>146.86069166999999</v>
      </c>
      <c r="H19" s="35">
        <v>220</v>
      </c>
      <c r="I19" s="34">
        <f t="shared" si="7"/>
        <v>2486.0625916700001</v>
      </c>
      <c r="J19" s="36">
        <f t="shared" si="2"/>
        <v>1204.1969356699999</v>
      </c>
      <c r="K19" s="34">
        <f t="shared" si="9"/>
        <v>1204.1969356699999</v>
      </c>
      <c r="L19" s="34">
        <f t="shared" si="10"/>
        <v>0</v>
      </c>
      <c r="M19" s="37"/>
      <c r="N19" s="26"/>
    </row>
    <row r="20" spans="1:14" ht="27.95" customHeight="1">
      <c r="A20" s="58">
        <v>215</v>
      </c>
      <c r="B20" s="41" t="s">
        <v>113</v>
      </c>
      <c r="C20" s="33">
        <v>220</v>
      </c>
      <c r="D20" s="34">
        <v>20</v>
      </c>
      <c r="E20" s="34">
        <f t="shared" si="8"/>
        <v>200</v>
      </c>
      <c r="F20" s="34">
        <f t="shared" si="5"/>
        <v>1.3860000000000001</v>
      </c>
      <c r="G20" s="35">
        <f t="shared" si="6"/>
        <v>1.3860000000000001</v>
      </c>
      <c r="H20" s="35"/>
      <c r="I20" s="34">
        <f t="shared" si="7"/>
        <v>21.385999999999999</v>
      </c>
      <c r="J20" s="36">
        <f t="shared" si="2"/>
        <v>-198.614</v>
      </c>
      <c r="K20" s="34">
        <f t="shared" si="9"/>
        <v>0</v>
      </c>
      <c r="L20" s="34">
        <f t="shared" si="10"/>
        <v>198.614</v>
      </c>
      <c r="M20" s="37"/>
      <c r="N20" s="26"/>
    </row>
    <row r="21" spans="1:14" ht="27.95" customHeight="1">
      <c r="A21" s="58">
        <v>216</v>
      </c>
      <c r="B21" s="41" t="s">
        <v>114</v>
      </c>
      <c r="C21" s="33">
        <v>786.13847499999997</v>
      </c>
      <c r="D21" s="34">
        <v>1070.9305999999999</v>
      </c>
      <c r="E21" s="34">
        <f t="shared" si="8"/>
        <v>-284.79212499999994</v>
      </c>
      <c r="F21" s="34">
        <f t="shared" si="5"/>
        <v>74.215490579999994</v>
      </c>
      <c r="G21" s="35">
        <f t="shared" si="6"/>
        <v>74.215490579999994</v>
      </c>
      <c r="H21" s="35"/>
      <c r="I21" s="34">
        <f t="shared" si="7"/>
        <v>1145.14609058</v>
      </c>
      <c r="J21" s="36">
        <f t="shared" si="2"/>
        <v>359.00761557999999</v>
      </c>
      <c r="K21" s="34">
        <f t="shared" si="9"/>
        <v>359.00761557999999</v>
      </c>
      <c r="L21" s="34">
        <f t="shared" si="10"/>
        <v>0</v>
      </c>
      <c r="M21" s="37"/>
      <c r="N21" s="26"/>
    </row>
    <row r="22" spans="1:14" ht="27.95" customHeight="1">
      <c r="A22" s="58">
        <v>217</v>
      </c>
      <c r="B22" s="41" t="s">
        <v>124</v>
      </c>
      <c r="C22" s="33">
        <v>188.02199999999999</v>
      </c>
      <c r="D22" s="34">
        <v>185.1266</v>
      </c>
      <c r="E22" s="34">
        <f t="shared" si="8"/>
        <v>2.8953999999999951</v>
      </c>
      <c r="F22" s="34">
        <f t="shared" si="5"/>
        <v>12.82927338</v>
      </c>
      <c r="G22" s="35">
        <f t="shared" si="6"/>
        <v>12.82927338</v>
      </c>
      <c r="H22" s="35"/>
      <c r="I22" s="34">
        <f>D22+F22</f>
        <v>197.95587337999999</v>
      </c>
      <c r="J22" s="36">
        <f>K22-L22</f>
        <v>9.9338733799999943</v>
      </c>
      <c r="K22" s="34">
        <f>IF((I22-C22)&gt;0,(I22-C22),0)</f>
        <v>9.9338733799999943</v>
      </c>
      <c r="L22" s="34">
        <f t="shared" ref="L22" si="11">IF((C22-I22)&gt;0,(C22-I22),0)</f>
        <v>0</v>
      </c>
      <c r="M22" s="37"/>
      <c r="N22" s="26"/>
    </row>
    <row r="23" spans="1:14" ht="27.95" customHeight="1">
      <c r="A23" s="58">
        <v>220</v>
      </c>
      <c r="B23" s="41" t="s">
        <v>115</v>
      </c>
      <c r="C23" s="33">
        <v>462</v>
      </c>
      <c r="D23" s="34">
        <v>302.76940000000002</v>
      </c>
      <c r="E23" s="34">
        <f t="shared" si="8"/>
        <v>159.23059999999998</v>
      </c>
      <c r="F23" s="34">
        <f t="shared" si="5"/>
        <v>131.98191942</v>
      </c>
      <c r="G23" s="35">
        <f t="shared" si="6"/>
        <v>20.981919420000001</v>
      </c>
      <c r="H23" s="35">
        <v>111</v>
      </c>
      <c r="I23" s="34">
        <f t="shared" si="7"/>
        <v>434.75131942000002</v>
      </c>
      <c r="J23" s="36">
        <f t="shared" si="2"/>
        <v>-27.248680579999984</v>
      </c>
      <c r="K23" s="34">
        <f>IF((I23-C23)&gt;0,(I23-C23),0)</f>
        <v>0</v>
      </c>
      <c r="L23" s="34">
        <f>IF((C23-I23)&gt;0,(C23-I23),0)</f>
        <v>27.248680579999984</v>
      </c>
      <c r="M23" s="37"/>
      <c r="N23" s="26"/>
    </row>
    <row r="24" spans="1:14" ht="27.95" customHeight="1">
      <c r="A24" s="58">
        <v>221</v>
      </c>
      <c r="B24" s="41" t="s">
        <v>116</v>
      </c>
      <c r="C24" s="33">
        <v>15287.712318</v>
      </c>
      <c r="D24" s="34">
        <v>12567.2369</v>
      </c>
      <c r="E24" s="34">
        <f t="shared" si="8"/>
        <v>2720.475418</v>
      </c>
      <c r="F24" s="34">
        <f t="shared" si="5"/>
        <v>881.90951716999996</v>
      </c>
      <c r="G24" s="35">
        <f t="shared" si="6"/>
        <v>870.90951716999996</v>
      </c>
      <c r="H24" s="35">
        <v>11</v>
      </c>
      <c r="I24" s="34">
        <f t="shared" si="7"/>
        <v>13449.146417169999</v>
      </c>
      <c r="J24" s="36">
        <f t="shared" si="2"/>
        <v>-1838.5659008300008</v>
      </c>
      <c r="K24" s="34">
        <f>IF((I24-C24)&gt;0,(I24-C24),0)</f>
        <v>0</v>
      </c>
      <c r="L24" s="34">
        <f>IF((C24-I24)&gt;0,(C24-I24),0)</f>
        <v>1838.5659008300008</v>
      </c>
      <c r="M24" s="37"/>
      <c r="N24" s="26"/>
    </row>
    <row r="25" spans="1:14" ht="27.95" customHeight="1">
      <c r="A25" s="58">
        <v>222</v>
      </c>
      <c r="B25" s="41" t="s">
        <v>117</v>
      </c>
      <c r="C25" s="33">
        <v>3045.79</v>
      </c>
      <c r="D25" s="34">
        <v>1392.2876000000001</v>
      </c>
      <c r="E25" s="34">
        <f t="shared" si="8"/>
        <v>1653.5023999999999</v>
      </c>
      <c r="F25" s="34">
        <f t="shared" si="5"/>
        <v>1594.48553068</v>
      </c>
      <c r="G25" s="35">
        <f t="shared" si="6"/>
        <v>96.485530680000011</v>
      </c>
      <c r="H25" s="35">
        <v>1498</v>
      </c>
      <c r="I25" s="34">
        <f t="shared" si="7"/>
        <v>2986.7731306800001</v>
      </c>
      <c r="J25" s="36">
        <f t="shared" si="2"/>
        <v>-59.016869319999842</v>
      </c>
      <c r="K25" s="34">
        <f>IF((I25-C25)&gt;0,(I25-C25),0)</f>
        <v>0</v>
      </c>
      <c r="L25" s="34">
        <f>IF((C25-I25)&gt;0,(C25-I25),0)</f>
        <v>59.016869319999842</v>
      </c>
      <c r="M25" s="37"/>
      <c r="N25" s="26"/>
    </row>
    <row r="26" spans="1:14" ht="27.95" customHeight="1">
      <c r="A26" s="58">
        <v>224</v>
      </c>
      <c r="B26" s="41" t="s">
        <v>118</v>
      </c>
      <c r="C26" s="33">
        <v>2463.3040879999999</v>
      </c>
      <c r="D26" s="34">
        <v>1904.5532000000001</v>
      </c>
      <c r="E26" s="34">
        <f t="shared" si="8"/>
        <v>558.7508879999998</v>
      </c>
      <c r="F26" s="34">
        <f t="shared" si="5"/>
        <v>455.98553676</v>
      </c>
      <c r="G26" s="35">
        <f t="shared" si="6"/>
        <v>131.98553676</v>
      </c>
      <c r="H26" s="35">
        <v>324</v>
      </c>
      <c r="I26" s="34">
        <f t="shared" si="7"/>
        <v>2360.5387367600001</v>
      </c>
      <c r="J26" s="36"/>
      <c r="K26" s="34">
        <f>IF((I26-C26)&gt;0,(I26-C26),0)</f>
        <v>0</v>
      </c>
      <c r="L26" s="34">
        <f>IF((C26-I26)&gt;0,(C26-I26),0)</f>
        <v>102.76535123999975</v>
      </c>
      <c r="M26" s="37"/>
      <c r="N26" s="26"/>
    </row>
    <row r="27" spans="1:14" ht="27.95" customHeight="1">
      <c r="A27" s="58">
        <v>227</v>
      </c>
      <c r="B27" s="41" t="s">
        <v>119</v>
      </c>
      <c r="C27" s="33">
        <v>1000</v>
      </c>
      <c r="D27" s="34">
        <v>0</v>
      </c>
      <c r="E27" s="34"/>
      <c r="F27" s="34">
        <f t="shared" si="5"/>
        <v>0</v>
      </c>
      <c r="G27" s="35"/>
      <c r="H27" s="35"/>
      <c r="I27" s="34"/>
      <c r="J27" s="36"/>
      <c r="K27" s="34"/>
      <c r="L27" s="34"/>
      <c r="M27" s="37" t="s">
        <v>133</v>
      </c>
      <c r="N27" s="26"/>
    </row>
    <row r="28" spans="1:14" ht="27.95" customHeight="1">
      <c r="A28" s="58">
        <v>229</v>
      </c>
      <c r="B28" s="41" t="s">
        <v>120</v>
      </c>
      <c r="C28" s="33">
        <v>12738.620500999999</v>
      </c>
      <c r="D28" s="34">
        <v>1081.9523999999999</v>
      </c>
      <c r="E28" s="34">
        <f>C28-D28</f>
        <v>11656.668100999999</v>
      </c>
      <c r="F28" s="34">
        <f t="shared" si="5"/>
        <v>106</v>
      </c>
      <c r="G28" s="35"/>
      <c r="H28" s="35">
        <v>106</v>
      </c>
      <c r="I28" s="34">
        <f t="shared" si="7"/>
        <v>1187.9523999999999</v>
      </c>
      <c r="J28" s="36">
        <f t="shared" si="2"/>
        <v>-11550.668100999999</v>
      </c>
      <c r="K28" s="34">
        <f>IF((I28-C28)&gt;0,(I28-C28),0)</f>
        <v>0</v>
      </c>
      <c r="L28" s="34">
        <f>IF((C28-I28)&gt;0,(C28-I28),0)</f>
        <v>11550.668100999999</v>
      </c>
      <c r="M28" s="37" t="s">
        <v>98</v>
      </c>
      <c r="N28" s="26"/>
    </row>
    <row r="29" spans="1:14" ht="27.95" customHeight="1">
      <c r="A29" s="58">
        <v>231</v>
      </c>
      <c r="B29" s="41" t="s">
        <v>121</v>
      </c>
      <c r="C29" s="33">
        <v>4651</v>
      </c>
      <c r="D29" s="34">
        <v>2124.5192999999999</v>
      </c>
      <c r="E29" s="34">
        <f>C29-D29</f>
        <v>2526.4807000000001</v>
      </c>
      <c r="F29" s="34">
        <f t="shared" si="5"/>
        <v>2231</v>
      </c>
      <c r="G29" s="35"/>
      <c r="H29" s="35">
        <f>2231</f>
        <v>2231</v>
      </c>
      <c r="I29" s="34">
        <f t="shared" si="7"/>
        <v>4355.5192999999999</v>
      </c>
      <c r="J29" s="36"/>
      <c r="K29" s="34">
        <f>IF((I29-C29)&gt;0,(I29-C29),0)</f>
        <v>0</v>
      </c>
      <c r="L29" s="34">
        <f>IF((C29-I29)&gt;0,(C29-I29),0)</f>
        <v>295.48070000000007</v>
      </c>
      <c r="M29" s="37"/>
      <c r="N29" s="26"/>
    </row>
    <row r="30" spans="1:14" ht="27.95" customHeight="1">
      <c r="A30" s="58">
        <v>232</v>
      </c>
      <c r="B30" s="41" t="s">
        <v>122</v>
      </c>
      <c r="C30" s="33">
        <v>4585.9861999999994</v>
      </c>
      <c r="D30" s="34">
        <v>2794.4911999999999</v>
      </c>
      <c r="E30" s="34">
        <f>C30-D30</f>
        <v>1791.4949999999994</v>
      </c>
      <c r="F30" s="34">
        <f t="shared" si="5"/>
        <v>390</v>
      </c>
      <c r="G30" s="35"/>
      <c r="H30" s="35">
        <v>390</v>
      </c>
      <c r="I30" s="34">
        <f t="shared" si="7"/>
        <v>3184.4911999999999</v>
      </c>
      <c r="J30" s="36">
        <f t="shared" si="2"/>
        <v>-1401.4949999999994</v>
      </c>
      <c r="K30" s="34">
        <f>IF((I30-C30)&gt;0,(I30-C30),0)</f>
        <v>0</v>
      </c>
      <c r="L30" s="34">
        <f>IF((C30-I30)&gt;0,(C30-I30),0)</f>
        <v>1401.4949999999994</v>
      </c>
      <c r="M30" s="37"/>
      <c r="N30" s="26"/>
    </row>
    <row r="31" spans="1:14" ht="27.95" customHeight="1">
      <c r="A31" s="58">
        <v>233</v>
      </c>
      <c r="B31" s="41" t="s">
        <v>123</v>
      </c>
      <c r="C31" s="33">
        <v>42.759813000000001</v>
      </c>
      <c r="D31" s="34">
        <v>17.9437</v>
      </c>
      <c r="E31" s="34">
        <f>C31-D31</f>
        <v>24.816113000000001</v>
      </c>
      <c r="F31" s="34">
        <f t="shared" si="5"/>
        <v>1</v>
      </c>
      <c r="G31" s="35"/>
      <c r="H31" s="35">
        <v>1</v>
      </c>
      <c r="I31" s="34">
        <f t="shared" si="7"/>
        <v>18.9437</v>
      </c>
      <c r="J31" s="36"/>
      <c r="K31" s="34">
        <f>IF((I31-C31)&gt;0,(I31-C31),0)</f>
        <v>0</v>
      </c>
      <c r="L31" s="34">
        <f>IF((C31-I31)&gt;0,(C31-I31),0)</f>
        <v>23.816113000000001</v>
      </c>
      <c r="M31" s="37"/>
      <c r="N31" s="26"/>
    </row>
    <row r="35" spans="4:4">
      <c r="D35" s="42"/>
    </row>
  </sheetData>
  <mergeCells count="12">
    <mergeCell ref="M4:M5"/>
    <mergeCell ref="A4:B5"/>
    <mergeCell ref="A2:M2"/>
    <mergeCell ref="A1:B1"/>
    <mergeCell ref="C4:C5"/>
    <mergeCell ref="D4:D5"/>
    <mergeCell ref="E4:E5"/>
    <mergeCell ref="F4:F5"/>
    <mergeCell ref="G4:G5"/>
    <mergeCell ref="H4:H5"/>
    <mergeCell ref="I4:I5"/>
    <mergeCell ref="J4:L4"/>
  </mergeCells>
  <phoneticPr fontId="5" type="noConversion"/>
  <printOptions horizontalCentered="1"/>
  <pageMargins left="0.47244094488188981" right="0.47244094488188981" top="0.59055118110236227" bottom="0.47244094488188981"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Y50"/>
  <sheetViews>
    <sheetView showZeros="0" zoomScale="70" zoomScaleNormal="70" workbookViewId="0">
      <selection activeCell="AB30" sqref="AB30"/>
    </sheetView>
  </sheetViews>
  <sheetFormatPr defaultColWidth="9" defaultRowHeight="14.25"/>
  <cols>
    <col min="1" max="1" width="29.375" style="10" customWidth="1"/>
    <col min="2" max="2" width="15.625" style="10" hidden="1" customWidth="1"/>
    <col min="3" max="3" width="12.625" style="11" customWidth="1"/>
    <col min="4" max="4" width="13.125" style="10" customWidth="1"/>
    <col min="5" max="5" width="13.875" style="10" customWidth="1"/>
    <col min="6" max="6" width="13.875" style="10" hidden="1" customWidth="1"/>
    <col min="7" max="7" width="13.875" style="10" customWidth="1"/>
    <col min="8" max="10" width="12.625" style="10" customWidth="1"/>
    <col min="11" max="11" width="12.625" style="10" hidden="1" customWidth="1"/>
    <col min="12" max="12" width="29.375" style="10" customWidth="1"/>
    <col min="13" max="13" width="15.625" style="10" hidden="1" customWidth="1"/>
    <col min="14" max="14" width="12.625" style="10" customWidth="1"/>
    <col min="15" max="15" width="13.125" style="10" customWidth="1"/>
    <col min="16" max="16" width="15.625" style="10" customWidth="1"/>
    <col min="17" max="17" width="15.625" style="10" hidden="1" customWidth="1"/>
    <col min="18" max="18" width="15.625" style="10" customWidth="1"/>
    <col min="19" max="21" width="12.625" style="10" customWidth="1"/>
    <col min="22" max="22" width="12.625" style="10" hidden="1" customWidth="1"/>
    <col min="23" max="23" width="12.625" style="10" customWidth="1"/>
    <col min="24" max="24" width="14.75" style="10" customWidth="1"/>
    <col min="25" max="25" width="9.625" style="10" bestFit="1" customWidth="1"/>
    <col min="26" max="16384" width="9" style="10"/>
  </cols>
  <sheetData>
    <row r="1" spans="1:25" s="9" customFormat="1" ht="25.5" customHeight="1">
      <c r="A1" s="12" t="s">
        <v>131</v>
      </c>
      <c r="B1" s="13"/>
      <c r="C1" s="14"/>
      <c r="D1" s="13"/>
      <c r="E1" s="13"/>
      <c r="F1" s="13"/>
      <c r="G1" s="13"/>
      <c r="H1" s="13"/>
      <c r="I1" s="13"/>
      <c r="J1" s="13"/>
      <c r="K1" s="13"/>
      <c r="L1" s="13"/>
      <c r="M1" s="13"/>
      <c r="N1" s="13"/>
      <c r="O1" s="13"/>
      <c r="P1" s="13"/>
      <c r="Q1" s="13"/>
      <c r="R1" s="13"/>
      <c r="S1" s="13"/>
      <c r="T1" s="13"/>
      <c r="U1" s="13"/>
      <c r="V1" s="13"/>
    </row>
    <row r="2" spans="1:25" ht="39.950000000000003" customHeight="1">
      <c r="A2" s="80" t="s">
        <v>0</v>
      </c>
      <c r="B2" s="80"/>
      <c r="C2" s="80"/>
      <c r="D2" s="80"/>
      <c r="E2" s="80"/>
      <c r="F2" s="80"/>
      <c r="G2" s="80"/>
      <c r="H2" s="80"/>
      <c r="I2" s="80"/>
      <c r="J2" s="80"/>
      <c r="K2" s="80"/>
      <c r="L2" s="80"/>
      <c r="M2" s="80"/>
      <c r="N2" s="80"/>
      <c r="O2" s="80"/>
      <c r="P2" s="80"/>
      <c r="Q2" s="80"/>
      <c r="R2" s="80"/>
      <c r="S2" s="80"/>
      <c r="T2" s="80"/>
      <c r="U2" s="80"/>
      <c r="V2" s="80"/>
    </row>
    <row r="3" spans="1:25" ht="18.75" customHeight="1">
      <c r="A3" s="4"/>
      <c r="B3" s="4"/>
      <c r="C3" s="15"/>
      <c r="D3" s="4"/>
      <c r="E3" s="4"/>
      <c r="F3" s="4"/>
      <c r="G3" s="4"/>
      <c r="H3" s="4"/>
      <c r="I3" s="4"/>
      <c r="J3" s="4"/>
      <c r="K3" s="4"/>
      <c r="L3" s="4"/>
      <c r="M3" s="81" t="s">
        <v>1</v>
      </c>
      <c r="N3" s="81"/>
      <c r="O3" s="81"/>
      <c r="P3" s="81"/>
      <c r="Q3" s="81"/>
      <c r="R3" s="81"/>
      <c r="S3" s="81"/>
      <c r="T3" s="81"/>
      <c r="U3" s="81"/>
      <c r="V3" s="81"/>
    </row>
    <row r="4" spans="1:25" ht="39.950000000000003" customHeight="1">
      <c r="A4" s="79" t="s">
        <v>2</v>
      </c>
      <c r="B4" s="79"/>
      <c r="C4" s="79"/>
      <c r="D4" s="79"/>
      <c r="E4" s="79"/>
      <c r="F4" s="79"/>
      <c r="G4" s="79"/>
      <c r="H4" s="79"/>
      <c r="I4" s="79"/>
      <c r="J4" s="79"/>
      <c r="K4" s="79"/>
      <c r="L4" s="79" t="s">
        <v>3</v>
      </c>
      <c r="M4" s="79"/>
      <c r="N4" s="79"/>
      <c r="O4" s="79"/>
      <c r="P4" s="79"/>
      <c r="Q4" s="79"/>
      <c r="R4" s="79"/>
      <c r="S4" s="79"/>
      <c r="T4" s="79"/>
      <c r="U4" s="79"/>
      <c r="V4" s="79"/>
    </row>
    <row r="5" spans="1:25" ht="39.950000000000003" customHeight="1">
      <c r="A5" s="43" t="s">
        <v>4</v>
      </c>
      <c r="B5" s="20" t="s">
        <v>147</v>
      </c>
      <c r="C5" s="20" t="s">
        <v>146</v>
      </c>
      <c r="D5" s="20" t="s">
        <v>73</v>
      </c>
      <c r="E5" s="20" t="s">
        <v>85</v>
      </c>
      <c r="F5" s="20" t="s">
        <v>128</v>
      </c>
      <c r="G5" s="20" t="s">
        <v>150</v>
      </c>
      <c r="H5" s="60" t="s">
        <v>141</v>
      </c>
      <c r="I5" s="60" t="s">
        <v>142</v>
      </c>
      <c r="J5" s="60" t="s">
        <v>143</v>
      </c>
      <c r="K5" s="60" t="s">
        <v>145</v>
      </c>
      <c r="L5" s="44" t="s">
        <v>4</v>
      </c>
      <c r="M5" s="20" t="s">
        <v>148</v>
      </c>
      <c r="N5" s="20" t="s">
        <v>146</v>
      </c>
      <c r="O5" s="20" t="s">
        <v>73</v>
      </c>
      <c r="P5" s="20" t="s">
        <v>85</v>
      </c>
      <c r="Q5" s="20" t="s">
        <v>128</v>
      </c>
      <c r="R5" s="20" t="s">
        <v>150</v>
      </c>
      <c r="S5" s="60" t="s">
        <v>141</v>
      </c>
      <c r="T5" s="60" t="s">
        <v>142</v>
      </c>
      <c r="U5" s="60" t="s">
        <v>143</v>
      </c>
      <c r="V5" s="60" t="s">
        <v>145</v>
      </c>
    </row>
    <row r="6" spans="1:25" ht="30" customHeight="1">
      <c r="A6" s="45" t="s">
        <v>5</v>
      </c>
      <c r="B6" s="19">
        <f t="shared" ref="B6:G6" si="0">B7+B8</f>
        <v>115035</v>
      </c>
      <c r="C6" s="19">
        <f t="shared" si="0"/>
        <v>108829.67</v>
      </c>
      <c r="D6" s="19">
        <f t="shared" si="0"/>
        <v>113727</v>
      </c>
      <c r="E6" s="19">
        <f t="shared" si="0"/>
        <v>113727</v>
      </c>
      <c r="F6" s="19">
        <f t="shared" si="0"/>
        <v>96167</v>
      </c>
      <c r="G6" s="19">
        <f t="shared" si="0"/>
        <v>104683</v>
      </c>
      <c r="H6" s="46">
        <f t="shared" ref="H6" si="1">G6/D6-1</f>
        <v>-7.9523771839580704E-2</v>
      </c>
      <c r="I6" s="19">
        <f>G6-D6</f>
        <v>-9044</v>
      </c>
      <c r="J6" s="46">
        <f>G6/C6-1</f>
        <v>-3.8102385130819538E-2</v>
      </c>
      <c r="K6" s="19">
        <f>G6-C6</f>
        <v>-4146.6699999999983</v>
      </c>
      <c r="L6" s="47" t="s">
        <v>6</v>
      </c>
      <c r="M6" s="19">
        <f t="shared" ref="M6:R6" si="2">M7+M15</f>
        <v>302950</v>
      </c>
      <c r="N6" s="19">
        <f t="shared" si="2"/>
        <v>277914</v>
      </c>
      <c r="O6" s="19">
        <f t="shared" si="2"/>
        <v>332320</v>
      </c>
      <c r="P6" s="19">
        <f t="shared" si="2"/>
        <v>332320</v>
      </c>
      <c r="Q6" s="19">
        <f t="shared" si="2"/>
        <v>245941</v>
      </c>
      <c r="R6" s="19">
        <f t="shared" si="2"/>
        <v>282320</v>
      </c>
      <c r="S6" s="46">
        <f>R6/O6-1</f>
        <v>-0.15045739046701978</v>
      </c>
      <c r="T6" s="19">
        <f t="shared" ref="T6:T35" si="3">R6-O6</f>
        <v>-50000</v>
      </c>
      <c r="U6" s="46">
        <f>R6/N6-1</f>
        <v>1.5853825284080747E-2</v>
      </c>
      <c r="V6" s="19">
        <f t="shared" ref="V6:V35" si="4">R6-N6</f>
        <v>4406</v>
      </c>
      <c r="W6" s="17"/>
      <c r="X6" s="17"/>
      <c r="Y6" s="17"/>
    </row>
    <row r="7" spans="1:25" ht="30" customHeight="1">
      <c r="A7" s="47" t="s">
        <v>7</v>
      </c>
      <c r="B7" s="19">
        <v>88573</v>
      </c>
      <c r="C7" s="19">
        <v>76316.67</v>
      </c>
      <c r="D7" s="19">
        <v>80896</v>
      </c>
      <c r="E7" s="19">
        <v>80896</v>
      </c>
      <c r="F7" s="19">
        <v>66080</v>
      </c>
      <c r="G7" s="19">
        <f>F7+7000</f>
        <v>73080</v>
      </c>
      <c r="H7" s="46">
        <f>G7/D7-1</f>
        <v>-9.6617879746835444E-2</v>
      </c>
      <c r="I7" s="19">
        <f t="shared" ref="I7:I35" si="5">G7-D7</f>
        <v>-7816</v>
      </c>
      <c r="J7" s="46">
        <f t="shared" ref="J7:J35" si="6">G7/C7-1</f>
        <v>-4.2411048595280665E-2</v>
      </c>
      <c r="K7" s="19">
        <f t="shared" ref="K7:K35" si="7">G7-C7</f>
        <v>-3236.6699999999983</v>
      </c>
      <c r="L7" s="47" t="s">
        <v>8</v>
      </c>
      <c r="M7" s="19">
        <f t="shared" ref="M7:R7" si="8">M8+M12+M13+M14</f>
        <v>202293</v>
      </c>
      <c r="N7" s="19">
        <f t="shared" si="8"/>
        <v>206264</v>
      </c>
      <c r="O7" s="19">
        <f t="shared" si="8"/>
        <v>232857</v>
      </c>
      <c r="P7" s="19">
        <f t="shared" si="8"/>
        <v>232857</v>
      </c>
      <c r="Q7" s="19">
        <f t="shared" si="8"/>
        <v>189042</v>
      </c>
      <c r="R7" s="19">
        <f t="shared" si="8"/>
        <v>206666</v>
      </c>
      <c r="S7" s="46">
        <f t="shared" ref="S7:S34" si="9">R7/O7-1</f>
        <v>-0.11247675612070929</v>
      </c>
      <c r="T7" s="19">
        <f t="shared" si="3"/>
        <v>-26191</v>
      </c>
      <c r="U7" s="46">
        <f t="shared" ref="U7:U34" si="10">R7/N7-1</f>
        <v>1.9489586161425265E-3</v>
      </c>
      <c r="V7" s="19">
        <f t="shared" si="4"/>
        <v>402</v>
      </c>
      <c r="W7" s="17"/>
      <c r="X7" s="46">
        <f>D8/D6</f>
        <v>0.28868254680067179</v>
      </c>
      <c r="Y7" s="17"/>
    </row>
    <row r="8" spans="1:25" ht="65.25" customHeight="1">
      <c r="A8" s="47" t="s">
        <v>9</v>
      </c>
      <c r="B8" s="19">
        <f t="shared" ref="B8:D8" si="11">B9+B10</f>
        <v>26462</v>
      </c>
      <c r="C8" s="19">
        <f t="shared" si="11"/>
        <v>32513</v>
      </c>
      <c r="D8" s="19">
        <f t="shared" si="11"/>
        <v>32831</v>
      </c>
      <c r="E8" s="19">
        <f t="shared" ref="E8:F8" si="12">E9+E10</f>
        <v>32831</v>
      </c>
      <c r="F8" s="19">
        <f t="shared" si="12"/>
        <v>30087</v>
      </c>
      <c r="G8" s="19">
        <f>G9+G10</f>
        <v>31603</v>
      </c>
      <c r="H8" s="46">
        <f t="shared" ref="H8:H35" si="13">G8/D8-1</f>
        <v>-3.7403673357497502E-2</v>
      </c>
      <c r="I8" s="19">
        <f t="shared" si="5"/>
        <v>-1228</v>
      </c>
      <c r="J8" s="46">
        <f t="shared" si="6"/>
        <v>-2.7988804478208729E-2</v>
      </c>
      <c r="K8" s="19">
        <f t="shared" si="7"/>
        <v>-910</v>
      </c>
      <c r="L8" s="45" t="s">
        <v>10</v>
      </c>
      <c r="M8" s="19">
        <f t="shared" ref="M8:R8" si="14">M9+M10+M11</f>
        <v>144158</v>
      </c>
      <c r="N8" s="19">
        <f t="shared" si="14"/>
        <v>136487</v>
      </c>
      <c r="O8" s="19">
        <f t="shared" si="14"/>
        <v>151738</v>
      </c>
      <c r="P8" s="19">
        <f t="shared" si="14"/>
        <v>151738</v>
      </c>
      <c r="Q8" s="19">
        <f t="shared" si="14"/>
        <v>127409</v>
      </c>
      <c r="R8" s="19">
        <f t="shared" si="14"/>
        <v>138714</v>
      </c>
      <c r="S8" s="46">
        <f t="shared" si="9"/>
        <v>-8.583215806192257E-2</v>
      </c>
      <c r="T8" s="19">
        <f t="shared" si="3"/>
        <v>-13024</v>
      </c>
      <c r="U8" s="46">
        <f t="shared" si="10"/>
        <v>1.6316572274282626E-2</v>
      </c>
      <c r="V8" s="19">
        <f t="shared" si="4"/>
        <v>2227</v>
      </c>
      <c r="W8" s="17"/>
      <c r="X8" s="46">
        <f>G8/G6</f>
        <v>0.30189237985155182</v>
      </c>
    </row>
    <row r="9" spans="1:25" ht="30" customHeight="1">
      <c r="A9" s="47" t="s">
        <v>11</v>
      </c>
      <c r="B9" s="19">
        <v>5600</v>
      </c>
      <c r="C9" s="19">
        <v>5007</v>
      </c>
      <c r="D9" s="19">
        <v>5000</v>
      </c>
      <c r="E9" s="19">
        <v>5000</v>
      </c>
      <c r="F9" s="19">
        <v>3797</v>
      </c>
      <c r="G9" s="19">
        <f>F9+300</f>
        <v>4097</v>
      </c>
      <c r="H9" s="46">
        <f t="shared" si="13"/>
        <v>-0.18059999999999998</v>
      </c>
      <c r="I9" s="19">
        <f t="shared" si="5"/>
        <v>-903</v>
      </c>
      <c r="J9" s="46">
        <f t="shared" si="6"/>
        <v>-0.18174555622129018</v>
      </c>
      <c r="K9" s="19">
        <f t="shared" si="7"/>
        <v>-910</v>
      </c>
      <c r="L9" s="45" t="s">
        <v>12</v>
      </c>
      <c r="M9" s="19">
        <v>36805</v>
      </c>
      <c r="N9" s="19">
        <v>29680</v>
      </c>
      <c r="O9" s="19">
        <v>37340</v>
      </c>
      <c r="P9" s="19">
        <v>37340</v>
      </c>
      <c r="Q9" s="19">
        <f>28780+465</f>
        <v>29245</v>
      </c>
      <c r="R9" s="19">
        <f>Q9+2595</f>
        <v>31840</v>
      </c>
      <c r="S9" s="46">
        <f t="shared" si="9"/>
        <v>-0.14729512587038029</v>
      </c>
      <c r="T9" s="19">
        <f t="shared" si="3"/>
        <v>-5500</v>
      </c>
      <c r="U9" s="46">
        <f t="shared" si="10"/>
        <v>7.2776280323450182E-2</v>
      </c>
      <c r="V9" s="19">
        <f t="shared" si="4"/>
        <v>2160</v>
      </c>
      <c r="W9" s="17"/>
      <c r="X9" s="46">
        <f>X8-X7</f>
        <v>1.3209833050880027E-2</v>
      </c>
    </row>
    <row r="10" spans="1:25" ht="30" customHeight="1">
      <c r="A10" s="45" t="s">
        <v>13</v>
      </c>
      <c r="B10" s="19">
        <f>20900-38</f>
        <v>20862</v>
      </c>
      <c r="C10" s="19">
        <v>27506</v>
      </c>
      <c r="D10" s="19">
        <v>27831</v>
      </c>
      <c r="E10" s="19">
        <v>27831</v>
      </c>
      <c r="F10" s="19">
        <v>26290</v>
      </c>
      <c r="G10" s="19">
        <f>F10+1216</f>
        <v>27506</v>
      </c>
      <c r="H10" s="46">
        <f t="shared" si="13"/>
        <v>-1.1677625669217817E-2</v>
      </c>
      <c r="I10" s="19">
        <f t="shared" si="5"/>
        <v>-325</v>
      </c>
      <c r="J10" s="46">
        <f t="shared" si="6"/>
        <v>0</v>
      </c>
      <c r="K10" s="19">
        <f t="shared" si="7"/>
        <v>0</v>
      </c>
      <c r="L10" s="45" t="s">
        <v>14</v>
      </c>
      <c r="M10" s="19">
        <v>12433</v>
      </c>
      <c r="N10" s="19">
        <v>12787</v>
      </c>
      <c r="O10" s="19">
        <v>14252</v>
      </c>
      <c r="P10" s="19">
        <v>14252</v>
      </c>
      <c r="Q10" s="19">
        <f>11929+129</f>
        <v>12058</v>
      </c>
      <c r="R10" s="19">
        <f>Q10+1070</f>
        <v>13128</v>
      </c>
      <c r="S10" s="46">
        <f t="shared" si="9"/>
        <v>-7.8866124052764497E-2</v>
      </c>
      <c r="T10" s="19">
        <f t="shared" si="3"/>
        <v>-1124</v>
      </c>
      <c r="U10" s="46">
        <f t="shared" si="10"/>
        <v>2.6667709392351524E-2</v>
      </c>
      <c r="V10" s="19">
        <f t="shared" si="4"/>
        <v>341</v>
      </c>
      <c r="W10" s="17"/>
    </row>
    <row r="11" spans="1:25" ht="30" customHeight="1">
      <c r="A11" s="21" t="s">
        <v>15</v>
      </c>
      <c r="B11" s="19">
        <f>103493-2+5-400+2+5+38-55</f>
        <v>103086</v>
      </c>
      <c r="C11" s="19">
        <f>72646+2486-535</f>
        <v>74597</v>
      </c>
      <c r="D11" s="19">
        <v>100000</v>
      </c>
      <c r="E11" s="19">
        <v>100000</v>
      </c>
      <c r="F11" s="19">
        <v>95156</v>
      </c>
      <c r="G11" s="19">
        <v>95156</v>
      </c>
      <c r="H11" s="46">
        <f t="shared" si="13"/>
        <v>-4.8440000000000039E-2</v>
      </c>
      <c r="I11" s="19">
        <f t="shared" si="5"/>
        <v>-4844</v>
      </c>
      <c r="J11" s="46">
        <f t="shared" si="6"/>
        <v>0.27560089547837041</v>
      </c>
      <c r="K11" s="19">
        <f t="shared" si="7"/>
        <v>20559</v>
      </c>
      <c r="L11" s="45" t="s">
        <v>16</v>
      </c>
      <c r="M11" s="19">
        <v>94920</v>
      </c>
      <c r="N11" s="19">
        <v>94020</v>
      </c>
      <c r="O11" s="19">
        <v>100146</v>
      </c>
      <c r="P11" s="19">
        <v>100146</v>
      </c>
      <c r="Q11" s="19">
        <f>83932+2174</f>
        <v>86106</v>
      </c>
      <c r="R11" s="19">
        <f>Q11+7640</f>
        <v>93746</v>
      </c>
      <c r="S11" s="46">
        <f t="shared" si="9"/>
        <v>-6.3906696223513637E-2</v>
      </c>
      <c r="T11" s="19">
        <f t="shared" si="3"/>
        <v>-6400</v>
      </c>
      <c r="U11" s="46">
        <f t="shared" si="10"/>
        <v>-2.9142735588172375E-3</v>
      </c>
      <c r="V11" s="19">
        <f t="shared" si="4"/>
        <v>-274</v>
      </c>
      <c r="W11" s="17"/>
    </row>
    <row r="12" spans="1:25" ht="65.25" customHeight="1">
      <c r="A12" s="21" t="s">
        <v>17</v>
      </c>
      <c r="B12" s="19" t="e">
        <f>B13+B14+#REF!</f>
        <v>#REF!</v>
      </c>
      <c r="C12" s="19">
        <f>C13+C14+C15</f>
        <v>312263</v>
      </c>
      <c r="D12" s="19">
        <f>D13+D14+D15</f>
        <v>330000</v>
      </c>
      <c r="E12" s="19">
        <f>E13+E14+E15</f>
        <v>330000</v>
      </c>
      <c r="F12" s="19">
        <f>F13+F14+F15</f>
        <v>378288</v>
      </c>
      <c r="G12" s="19">
        <f>G13+G14+G15</f>
        <v>378288</v>
      </c>
      <c r="H12" s="46">
        <f t="shared" si="13"/>
        <v>0.14632727272727264</v>
      </c>
      <c r="I12" s="19">
        <f t="shared" si="5"/>
        <v>48288</v>
      </c>
      <c r="J12" s="46">
        <f t="shared" si="6"/>
        <v>0.21144035636626812</v>
      </c>
      <c r="K12" s="19">
        <f t="shared" si="7"/>
        <v>66025</v>
      </c>
      <c r="L12" s="48" t="s">
        <v>129</v>
      </c>
      <c r="M12" s="19">
        <v>46938</v>
      </c>
      <c r="N12" s="19">
        <v>57495</v>
      </c>
      <c r="O12" s="19">
        <v>66271</v>
      </c>
      <c r="P12" s="19">
        <v>66271</v>
      </c>
      <c r="Q12" s="19">
        <v>49452</v>
      </c>
      <c r="R12" s="19">
        <f>Q12+5238</f>
        <v>54690</v>
      </c>
      <c r="S12" s="46">
        <f t="shared" si="9"/>
        <v>-0.17475215403419297</v>
      </c>
      <c r="T12" s="19">
        <f t="shared" si="3"/>
        <v>-11581</v>
      </c>
      <c r="U12" s="46">
        <f t="shared" si="10"/>
        <v>-4.8786851030524381E-2</v>
      </c>
      <c r="V12" s="19">
        <f t="shared" si="4"/>
        <v>-2805</v>
      </c>
      <c r="W12" s="17"/>
    </row>
    <row r="13" spans="1:25" ht="30" customHeight="1">
      <c r="A13" s="21" t="s">
        <v>18</v>
      </c>
      <c r="B13" s="19">
        <v>140655</v>
      </c>
      <c r="C13" s="19">
        <f>208050-10000</f>
        <v>198050</v>
      </c>
      <c r="D13" s="19">
        <v>200000</v>
      </c>
      <c r="E13" s="19">
        <v>200000</v>
      </c>
      <c r="F13" s="19">
        <v>295652</v>
      </c>
      <c r="G13" s="19">
        <f>F13</f>
        <v>295652</v>
      </c>
      <c r="H13" s="46">
        <f t="shared" si="13"/>
        <v>0.47825999999999991</v>
      </c>
      <c r="I13" s="19">
        <f t="shared" si="5"/>
        <v>95652</v>
      </c>
      <c r="J13" s="46">
        <f t="shared" si="6"/>
        <v>0.49281494572077755</v>
      </c>
      <c r="K13" s="19">
        <f t="shared" si="7"/>
        <v>97602</v>
      </c>
      <c r="L13" s="45" t="s">
        <v>19</v>
      </c>
      <c r="M13" s="19">
        <v>7970</v>
      </c>
      <c r="N13" s="19">
        <v>9056</v>
      </c>
      <c r="O13" s="19">
        <f>8529+35+2000+13+1000</f>
        <v>11577</v>
      </c>
      <c r="P13" s="19">
        <f>8529+35+2000+13+1000</f>
        <v>11577</v>
      </c>
      <c r="Q13" s="19">
        <f>11918-2768</f>
        <v>9150</v>
      </c>
      <c r="R13" s="19">
        <f>Q13+841</f>
        <v>9991</v>
      </c>
      <c r="S13" s="46">
        <f t="shared" si="9"/>
        <v>-0.13699576746998354</v>
      </c>
      <c r="T13" s="19">
        <f t="shared" si="3"/>
        <v>-1586</v>
      </c>
      <c r="U13" s="46">
        <f t="shared" si="10"/>
        <v>0.10324646643109547</v>
      </c>
      <c r="V13" s="19">
        <f t="shared" si="4"/>
        <v>935</v>
      </c>
      <c r="W13" s="17"/>
      <c r="X13" s="17"/>
    </row>
    <row r="14" spans="1:25" ht="30" customHeight="1">
      <c r="A14" s="21" t="s">
        <v>20</v>
      </c>
      <c r="B14" s="19">
        <v>128412</v>
      </c>
      <c r="C14" s="19">
        <f>113513-2773+30-32+604-715-16-5+47-231-9</f>
        <v>110413</v>
      </c>
      <c r="D14" s="19">
        <v>130000</v>
      </c>
      <c r="E14" s="19">
        <v>130000</v>
      </c>
      <c r="F14" s="19">
        <v>82636</v>
      </c>
      <c r="G14" s="19">
        <f>F14</f>
        <v>82636</v>
      </c>
      <c r="H14" s="46">
        <f t="shared" si="13"/>
        <v>-0.3643384615384615</v>
      </c>
      <c r="I14" s="19">
        <f t="shared" si="5"/>
        <v>-47364</v>
      </c>
      <c r="J14" s="46">
        <f t="shared" si="6"/>
        <v>-0.25157363716229064</v>
      </c>
      <c r="K14" s="19">
        <f t="shared" si="7"/>
        <v>-27777</v>
      </c>
      <c r="L14" s="45" t="s">
        <v>139</v>
      </c>
      <c r="M14" s="19">
        <f>3229-2</f>
        <v>3227</v>
      </c>
      <c r="N14" s="19">
        <f>2831+395</f>
        <v>3226</v>
      </c>
      <c r="O14" s="19">
        <v>3271</v>
      </c>
      <c r="P14" s="19">
        <v>3271</v>
      </c>
      <c r="Q14" s="19">
        <v>3031</v>
      </c>
      <c r="R14" s="19">
        <f>Q14+240</f>
        <v>3271</v>
      </c>
      <c r="S14" s="46">
        <f t="shared" si="9"/>
        <v>0</v>
      </c>
      <c r="T14" s="19">
        <f t="shared" si="3"/>
        <v>0</v>
      </c>
      <c r="U14" s="46">
        <f t="shared" si="10"/>
        <v>1.3949163050217095E-2</v>
      </c>
      <c r="V14" s="19">
        <f t="shared" si="4"/>
        <v>45</v>
      </c>
      <c r="W14" s="17"/>
    </row>
    <row r="15" spans="1:25" ht="30" customHeight="1">
      <c r="A15" s="21" t="s">
        <v>21</v>
      </c>
      <c r="B15" s="19"/>
      <c r="C15" s="19">
        <f>3800</f>
        <v>3800</v>
      </c>
      <c r="D15" s="19"/>
      <c r="E15" s="19"/>
      <c r="F15" s="19"/>
      <c r="G15" s="19"/>
      <c r="H15" s="46"/>
      <c r="I15" s="19">
        <f t="shared" si="5"/>
        <v>0</v>
      </c>
      <c r="J15" s="46">
        <f t="shared" si="6"/>
        <v>-1</v>
      </c>
      <c r="K15" s="19">
        <f t="shared" si="7"/>
        <v>-3800</v>
      </c>
      <c r="L15" s="47" t="s">
        <v>22</v>
      </c>
      <c r="M15" s="19">
        <f t="shared" ref="M15:R15" si="15">SUM(M16:M17)</f>
        <v>100657</v>
      </c>
      <c r="N15" s="19">
        <f t="shared" si="15"/>
        <v>71650</v>
      </c>
      <c r="O15" s="19">
        <f t="shared" si="15"/>
        <v>99463</v>
      </c>
      <c r="P15" s="19">
        <f t="shared" si="15"/>
        <v>99463</v>
      </c>
      <c r="Q15" s="19">
        <f t="shared" si="15"/>
        <v>56899</v>
      </c>
      <c r="R15" s="19">
        <f t="shared" si="15"/>
        <v>75654</v>
      </c>
      <c r="S15" s="46">
        <f t="shared" si="9"/>
        <v>-0.23937544614580297</v>
      </c>
      <c r="T15" s="19">
        <f t="shared" si="3"/>
        <v>-23809</v>
      </c>
      <c r="U15" s="46">
        <f t="shared" si="10"/>
        <v>5.5882763433356519E-2</v>
      </c>
      <c r="V15" s="19">
        <f t="shared" si="4"/>
        <v>4004</v>
      </c>
      <c r="W15" s="17"/>
      <c r="X15" s="17"/>
    </row>
    <row r="16" spans="1:25" ht="39.950000000000003" customHeight="1">
      <c r="A16" s="21" t="s">
        <v>23</v>
      </c>
      <c r="B16" s="19">
        <v>2773</v>
      </c>
      <c r="C16" s="19">
        <v>2773</v>
      </c>
      <c r="D16" s="19">
        <v>3984</v>
      </c>
      <c r="E16" s="19">
        <v>3984</v>
      </c>
      <c r="F16" s="19">
        <v>3984</v>
      </c>
      <c r="G16" s="19">
        <v>3984</v>
      </c>
      <c r="H16" s="46">
        <f t="shared" si="13"/>
        <v>0</v>
      </c>
      <c r="I16" s="19">
        <f t="shared" si="5"/>
        <v>0</v>
      </c>
      <c r="J16" s="46">
        <f t="shared" si="6"/>
        <v>0.43671114316624604</v>
      </c>
      <c r="K16" s="19">
        <f t="shared" si="7"/>
        <v>1211</v>
      </c>
      <c r="L16" s="45" t="s">
        <v>24</v>
      </c>
      <c r="M16" s="19">
        <f>89677-3767+5+4494</f>
        <v>90409</v>
      </c>
      <c r="N16" s="19">
        <f>62700+2566-9</f>
        <v>65257</v>
      </c>
      <c r="O16" s="19">
        <f>92262-O23-O25</f>
        <v>87611</v>
      </c>
      <c r="P16" s="19">
        <f>92262-P23-P25</f>
        <v>87611</v>
      </c>
      <c r="Q16" s="19">
        <f>52869-Q25</f>
        <v>50744</v>
      </c>
      <c r="R16" s="19">
        <f>Q16+16633</f>
        <v>67377</v>
      </c>
      <c r="S16" s="46">
        <f t="shared" si="9"/>
        <v>-0.23095273424569973</v>
      </c>
      <c r="T16" s="19">
        <f t="shared" si="3"/>
        <v>-20234</v>
      </c>
      <c r="U16" s="46">
        <f t="shared" si="10"/>
        <v>3.2486936267373645E-2</v>
      </c>
      <c r="V16" s="19">
        <f t="shared" si="4"/>
        <v>2120</v>
      </c>
      <c r="W16" s="17"/>
    </row>
    <row r="17" spans="1:25" ht="39.950000000000003" customHeight="1">
      <c r="A17" s="21" t="s">
        <v>25</v>
      </c>
      <c r="B17" s="19">
        <v>10000</v>
      </c>
      <c r="C17" s="19">
        <v>10000</v>
      </c>
      <c r="D17" s="19">
        <v>10000</v>
      </c>
      <c r="E17" s="19">
        <v>10000</v>
      </c>
      <c r="F17" s="19">
        <v>10000</v>
      </c>
      <c r="G17" s="19">
        <v>10000</v>
      </c>
      <c r="H17" s="46">
        <f t="shared" si="13"/>
        <v>0</v>
      </c>
      <c r="I17" s="19">
        <f t="shared" si="5"/>
        <v>0</v>
      </c>
      <c r="J17" s="46">
        <f t="shared" si="6"/>
        <v>0</v>
      </c>
      <c r="K17" s="19">
        <f t="shared" si="7"/>
        <v>0</v>
      </c>
      <c r="L17" s="45" t="s">
        <v>26</v>
      </c>
      <c r="M17" s="19">
        <f>10975-727</f>
        <v>10248</v>
      </c>
      <c r="N17" s="19">
        <v>6393</v>
      </c>
      <c r="O17" s="19">
        <f>11852</f>
        <v>11852</v>
      </c>
      <c r="P17" s="19">
        <f>11852</f>
        <v>11852</v>
      </c>
      <c r="Q17" s="19">
        <f>5252+903</f>
        <v>6155</v>
      </c>
      <c r="R17" s="19">
        <f>Q17+2122</f>
        <v>8277</v>
      </c>
      <c r="S17" s="46">
        <f t="shared" si="9"/>
        <v>-0.30163685453931821</v>
      </c>
      <c r="T17" s="19">
        <f t="shared" si="3"/>
        <v>-3575</v>
      </c>
      <c r="U17" s="46">
        <f t="shared" si="10"/>
        <v>0.29469732519943692</v>
      </c>
      <c r="V17" s="19">
        <f t="shared" si="4"/>
        <v>1884</v>
      </c>
      <c r="W17" s="17"/>
    </row>
    <row r="18" spans="1:25" ht="39.950000000000003" customHeight="1">
      <c r="A18" s="21" t="s">
        <v>79</v>
      </c>
      <c r="B18" s="19">
        <v>11782</v>
      </c>
      <c r="C18" s="19">
        <v>16569</v>
      </c>
      <c r="D18" s="19">
        <v>17000</v>
      </c>
      <c r="E18" s="19">
        <v>17000</v>
      </c>
      <c r="F18" s="19">
        <v>13812</v>
      </c>
      <c r="G18" s="19">
        <v>13812</v>
      </c>
      <c r="H18" s="46">
        <f t="shared" si="13"/>
        <v>-0.18752941176470583</v>
      </c>
      <c r="I18" s="19">
        <f t="shared" si="5"/>
        <v>-3188</v>
      </c>
      <c r="J18" s="46">
        <f t="shared" si="6"/>
        <v>-0.16639507514032226</v>
      </c>
      <c r="K18" s="19">
        <f t="shared" si="7"/>
        <v>-2757</v>
      </c>
      <c r="L18" s="22" t="s">
        <v>27</v>
      </c>
      <c r="M18" s="19">
        <f t="shared" ref="M18:R18" si="16">M19+M20</f>
        <v>269067</v>
      </c>
      <c r="N18" s="19">
        <f t="shared" si="16"/>
        <v>289062</v>
      </c>
      <c r="O18" s="19">
        <f t="shared" si="16"/>
        <v>330000</v>
      </c>
      <c r="P18" s="19">
        <f t="shared" si="16"/>
        <v>330000</v>
      </c>
      <c r="Q18" s="19">
        <f t="shared" si="16"/>
        <v>251702</v>
      </c>
      <c r="R18" s="19">
        <f t="shared" si="16"/>
        <v>341702</v>
      </c>
      <c r="S18" s="46">
        <f t="shared" si="9"/>
        <v>3.546060606060597E-2</v>
      </c>
      <c r="T18" s="19">
        <f t="shared" si="3"/>
        <v>11702</v>
      </c>
      <c r="U18" s="46">
        <f t="shared" si="10"/>
        <v>0.18210626094055948</v>
      </c>
      <c r="V18" s="19">
        <f t="shared" si="4"/>
        <v>52640</v>
      </c>
      <c r="W18" s="17"/>
    </row>
    <row r="19" spans="1:25" ht="39.950000000000003" customHeight="1">
      <c r="A19" s="21" t="s">
        <v>80</v>
      </c>
      <c r="B19" s="19" t="e">
        <f>B20+B21+#REF!</f>
        <v>#REF!</v>
      </c>
      <c r="C19" s="19">
        <f>C20+C21</f>
        <v>45767</v>
      </c>
      <c r="D19" s="19">
        <f>D20+D21</f>
        <v>22073</v>
      </c>
      <c r="E19" s="19">
        <f>E20+E21</f>
        <v>22073</v>
      </c>
      <c r="F19" s="19">
        <f>F20+F21</f>
        <v>22073</v>
      </c>
      <c r="G19" s="19">
        <f>G20+G21</f>
        <v>22073</v>
      </c>
      <c r="H19" s="46">
        <f t="shared" si="13"/>
        <v>0</v>
      </c>
      <c r="I19" s="19">
        <f t="shared" si="5"/>
        <v>0</v>
      </c>
      <c r="J19" s="46">
        <f t="shared" si="6"/>
        <v>-0.51770926650206484</v>
      </c>
      <c r="K19" s="19">
        <f t="shared" si="7"/>
        <v>-23694</v>
      </c>
      <c r="L19" s="47" t="s">
        <v>28</v>
      </c>
      <c r="M19" s="19">
        <f>B13</f>
        <v>140655</v>
      </c>
      <c r="N19" s="19">
        <f>198363-10000</f>
        <v>188363</v>
      </c>
      <c r="O19" s="19">
        <f t="shared" ref="O19:P20" si="17">D13</f>
        <v>200000</v>
      </c>
      <c r="P19" s="19">
        <f t="shared" si="17"/>
        <v>200000</v>
      </c>
      <c r="Q19" s="19">
        <v>208049</v>
      </c>
      <c r="R19" s="19">
        <f>Q19+60000</f>
        <v>268049</v>
      </c>
      <c r="S19" s="46">
        <f t="shared" si="9"/>
        <v>0.34024499999999991</v>
      </c>
      <c r="T19" s="19">
        <f t="shared" si="3"/>
        <v>68049</v>
      </c>
      <c r="U19" s="46">
        <f t="shared" si="10"/>
        <v>0.42304486549906306</v>
      </c>
      <c r="V19" s="19">
        <f t="shared" si="4"/>
        <v>79686</v>
      </c>
      <c r="W19" s="17"/>
    </row>
    <row r="20" spans="1:25" ht="39.950000000000003" customHeight="1">
      <c r="A20" s="49" t="s">
        <v>29</v>
      </c>
      <c r="B20" s="19">
        <v>45767</v>
      </c>
      <c r="C20" s="19">
        <f>37869-775+9-10872+9</f>
        <v>26240</v>
      </c>
      <c r="D20" s="19">
        <f>N27</f>
        <v>22073</v>
      </c>
      <c r="E20" s="19">
        <v>22073</v>
      </c>
      <c r="F20" s="19">
        <f>22073-F21</f>
        <v>21393</v>
      </c>
      <c r="G20" s="19">
        <f>22073-G21</f>
        <v>21393</v>
      </c>
      <c r="H20" s="46">
        <f t="shared" si="13"/>
        <v>-3.0806868119421904E-2</v>
      </c>
      <c r="I20" s="19">
        <f t="shared" si="5"/>
        <v>-680</v>
      </c>
      <c r="J20" s="46">
        <f t="shared" si="6"/>
        <v>-0.18471798780487803</v>
      </c>
      <c r="K20" s="19">
        <f t="shared" si="7"/>
        <v>-4847</v>
      </c>
      <c r="L20" s="47" t="s">
        <v>30</v>
      </c>
      <c r="M20" s="19">
        <f>B14</f>
        <v>128412</v>
      </c>
      <c r="N20" s="19">
        <f>103425-2773+47</f>
        <v>100699</v>
      </c>
      <c r="O20" s="19">
        <f t="shared" si="17"/>
        <v>130000</v>
      </c>
      <c r="P20" s="19">
        <f t="shared" si="17"/>
        <v>130000</v>
      </c>
      <c r="Q20" s="19">
        <f>53737-Q24-Q22</f>
        <v>43653</v>
      </c>
      <c r="R20" s="19">
        <f>Q20+30000</f>
        <v>73653</v>
      </c>
      <c r="S20" s="46">
        <f t="shared" si="9"/>
        <v>-0.43343846153846155</v>
      </c>
      <c r="T20" s="19">
        <f t="shared" si="3"/>
        <v>-56347</v>
      </c>
      <c r="U20" s="46">
        <f t="shared" si="10"/>
        <v>-0.26858260757306429</v>
      </c>
      <c r="V20" s="19">
        <f t="shared" si="4"/>
        <v>-27046</v>
      </c>
      <c r="W20" s="17"/>
    </row>
    <row r="21" spans="1:25" ht="39.950000000000003" customHeight="1">
      <c r="A21" s="47" t="s">
        <v>31</v>
      </c>
      <c r="B21" s="19">
        <v>0</v>
      </c>
      <c r="C21" s="19">
        <f>7237+652+11638</f>
        <v>19527</v>
      </c>
      <c r="D21" s="19"/>
      <c r="E21" s="19"/>
      <c r="F21" s="19">
        <v>680</v>
      </c>
      <c r="G21" s="19">
        <f>680</f>
        <v>680</v>
      </c>
      <c r="H21" s="46"/>
      <c r="I21" s="19">
        <f t="shared" si="5"/>
        <v>680</v>
      </c>
      <c r="J21" s="46">
        <f t="shared" si="6"/>
        <v>-0.96517642238951196</v>
      </c>
      <c r="K21" s="19">
        <f t="shared" si="7"/>
        <v>-18847</v>
      </c>
      <c r="L21" s="22" t="s">
        <v>32</v>
      </c>
      <c r="M21" s="19" t="e">
        <f>B19</f>
        <v>#REF!</v>
      </c>
      <c r="N21" s="19">
        <f>23606+9-47</f>
        <v>23568</v>
      </c>
      <c r="O21" s="19">
        <f>D19</f>
        <v>22073</v>
      </c>
      <c r="P21" s="19">
        <f>E19</f>
        <v>22073</v>
      </c>
      <c r="Q21" s="19">
        <v>10584</v>
      </c>
      <c r="R21" s="19">
        <f>Q21+500</f>
        <v>11084</v>
      </c>
      <c r="S21" s="46">
        <f t="shared" si="9"/>
        <v>-0.49784804965342278</v>
      </c>
      <c r="T21" s="19">
        <f t="shared" si="3"/>
        <v>-10989</v>
      </c>
      <c r="U21" s="46">
        <f t="shared" si="10"/>
        <v>-0.5297012898845892</v>
      </c>
      <c r="V21" s="19">
        <f t="shared" si="4"/>
        <v>-12484</v>
      </c>
      <c r="W21" s="17"/>
    </row>
    <row r="22" spans="1:25" ht="39.950000000000003" customHeight="1">
      <c r="A22" s="21" t="s">
        <v>33</v>
      </c>
      <c r="B22" s="19">
        <v>32087</v>
      </c>
      <c r="C22" s="19">
        <v>31191</v>
      </c>
      <c r="D22" s="19"/>
      <c r="E22" s="19"/>
      <c r="F22" s="19"/>
      <c r="G22" s="19"/>
      <c r="H22" s="46"/>
      <c r="I22" s="19">
        <f t="shared" si="5"/>
        <v>0</v>
      </c>
      <c r="J22" s="46">
        <f t="shared" si="6"/>
        <v>-1</v>
      </c>
      <c r="K22" s="19">
        <f t="shared" si="7"/>
        <v>-31191</v>
      </c>
      <c r="L22" s="22" t="s">
        <v>34</v>
      </c>
      <c r="M22" s="19">
        <f>B16</f>
        <v>2773</v>
      </c>
      <c r="N22" s="19">
        <f>2497+276</f>
        <v>2773</v>
      </c>
      <c r="O22" s="19">
        <f>D16</f>
        <v>3984</v>
      </c>
      <c r="P22" s="19">
        <f>E16</f>
        <v>3984</v>
      </c>
      <c r="Q22" s="19">
        <v>84</v>
      </c>
      <c r="R22" s="19">
        <f>G16</f>
        <v>3984</v>
      </c>
      <c r="S22" s="46">
        <f t="shared" si="9"/>
        <v>0</v>
      </c>
      <c r="T22" s="19">
        <f t="shared" si="3"/>
        <v>0</v>
      </c>
      <c r="U22" s="46">
        <f t="shared" si="10"/>
        <v>0.43671114316624604</v>
      </c>
      <c r="V22" s="19">
        <f t="shared" si="4"/>
        <v>1211</v>
      </c>
      <c r="W22" s="17"/>
    </row>
    <row r="23" spans="1:25" ht="42.75" customHeight="1">
      <c r="A23" s="21" t="s">
        <v>35</v>
      </c>
      <c r="B23" s="19"/>
      <c r="C23" s="19">
        <v>5085</v>
      </c>
      <c r="D23" s="19"/>
      <c r="E23" s="19"/>
      <c r="F23" s="19"/>
      <c r="G23" s="19"/>
      <c r="H23" s="46"/>
      <c r="I23" s="19">
        <f t="shared" si="5"/>
        <v>0</v>
      </c>
      <c r="J23" s="46">
        <f t="shared" si="6"/>
        <v>-1</v>
      </c>
      <c r="K23" s="19">
        <f t="shared" si="7"/>
        <v>-5085</v>
      </c>
      <c r="L23" s="22" t="s">
        <v>36</v>
      </c>
      <c r="M23" s="19"/>
      <c r="N23" s="19"/>
      <c r="O23" s="19">
        <v>2231</v>
      </c>
      <c r="P23" s="19">
        <v>2231</v>
      </c>
      <c r="Q23" s="19"/>
      <c r="R23" s="19">
        <v>2231</v>
      </c>
      <c r="S23" s="46">
        <f t="shared" si="9"/>
        <v>0</v>
      </c>
      <c r="T23" s="19">
        <f t="shared" si="3"/>
        <v>0</v>
      </c>
      <c r="U23" s="46"/>
      <c r="V23" s="19">
        <f t="shared" si="4"/>
        <v>2231</v>
      </c>
      <c r="W23" s="17"/>
      <c r="Y23" s="17"/>
    </row>
    <row r="24" spans="1:25" ht="60.75" customHeight="1">
      <c r="A24" s="21"/>
      <c r="B24" s="19"/>
      <c r="C24" s="19"/>
      <c r="D24" s="19"/>
      <c r="E24" s="19"/>
      <c r="F24" s="19"/>
      <c r="G24" s="19"/>
      <c r="H24" s="46"/>
      <c r="I24" s="19">
        <f t="shared" si="5"/>
        <v>0</v>
      </c>
      <c r="J24" s="46"/>
      <c r="K24" s="19">
        <f t="shared" si="7"/>
        <v>0</v>
      </c>
      <c r="L24" s="22" t="s">
        <v>37</v>
      </c>
      <c r="M24" s="19">
        <f>B17</f>
        <v>10000</v>
      </c>
      <c r="N24" s="19">
        <v>10000</v>
      </c>
      <c r="O24" s="19">
        <f>D17</f>
        <v>10000</v>
      </c>
      <c r="P24" s="19">
        <f>E17</f>
        <v>10000</v>
      </c>
      <c r="Q24" s="19">
        <f>F17</f>
        <v>10000</v>
      </c>
      <c r="R24" s="19">
        <f>G17</f>
        <v>10000</v>
      </c>
      <c r="S24" s="46">
        <f t="shared" si="9"/>
        <v>0</v>
      </c>
      <c r="T24" s="19">
        <f t="shared" si="3"/>
        <v>0</v>
      </c>
      <c r="U24" s="46">
        <f t="shared" si="10"/>
        <v>0</v>
      </c>
      <c r="V24" s="19">
        <f t="shared" si="4"/>
        <v>0</v>
      </c>
      <c r="W24" s="17"/>
    </row>
    <row r="25" spans="1:25" ht="39.950000000000003" customHeight="1">
      <c r="A25" s="21"/>
      <c r="B25" s="19"/>
      <c r="C25" s="19"/>
      <c r="D25" s="19"/>
      <c r="E25" s="19"/>
      <c r="F25" s="19"/>
      <c r="G25" s="19"/>
      <c r="H25" s="46"/>
      <c r="I25" s="19">
        <f t="shared" si="5"/>
        <v>0</v>
      </c>
      <c r="J25" s="46"/>
      <c r="K25" s="19">
        <f t="shared" si="7"/>
        <v>0</v>
      </c>
      <c r="L25" s="22" t="s">
        <v>81</v>
      </c>
      <c r="M25" s="19"/>
      <c r="N25" s="19">
        <v>715</v>
      </c>
      <c r="O25" s="19">
        <v>2420</v>
      </c>
      <c r="P25" s="19">
        <v>2420</v>
      </c>
      <c r="Q25" s="19">
        <v>2125</v>
      </c>
      <c r="R25" s="19">
        <v>2125</v>
      </c>
      <c r="S25" s="46">
        <f t="shared" si="9"/>
        <v>-0.12190082644628097</v>
      </c>
      <c r="T25" s="19">
        <f t="shared" si="3"/>
        <v>-295</v>
      </c>
      <c r="U25" s="46">
        <f t="shared" si="10"/>
        <v>1.9720279720279721</v>
      </c>
      <c r="V25" s="19">
        <f t="shared" si="4"/>
        <v>1410</v>
      </c>
      <c r="W25" s="17"/>
    </row>
    <row r="26" spans="1:25" ht="39.950000000000003" customHeight="1">
      <c r="A26" s="21"/>
      <c r="B26" s="19"/>
      <c r="C26" s="19"/>
      <c r="D26" s="19"/>
      <c r="E26" s="19"/>
      <c r="F26" s="19"/>
      <c r="G26" s="19"/>
      <c r="H26" s="46"/>
      <c r="I26" s="19">
        <f t="shared" si="5"/>
        <v>0</v>
      </c>
      <c r="J26" s="46"/>
      <c r="K26" s="19">
        <f t="shared" si="7"/>
        <v>0</v>
      </c>
      <c r="L26" s="22" t="s">
        <v>82</v>
      </c>
      <c r="M26" s="19">
        <f>9768+12846</f>
        <v>22614</v>
      </c>
      <c r="N26" s="19">
        <f>27119-535</f>
        <v>26584</v>
      </c>
      <c r="O26" s="19">
        <v>26026</v>
      </c>
      <c r="P26" s="19">
        <v>26026</v>
      </c>
      <c r="Q26" s="19">
        <v>25775</v>
      </c>
      <c r="R26" s="19">
        <v>25775</v>
      </c>
      <c r="S26" s="46">
        <f t="shared" si="9"/>
        <v>-9.6442019518943045E-3</v>
      </c>
      <c r="T26" s="19">
        <f t="shared" si="3"/>
        <v>-251</v>
      </c>
      <c r="U26" s="46">
        <f t="shared" si="10"/>
        <v>-3.0431838699969904E-2</v>
      </c>
      <c r="V26" s="19">
        <f t="shared" si="4"/>
        <v>-809</v>
      </c>
      <c r="W26" s="17"/>
      <c r="Y26" s="17"/>
    </row>
    <row r="27" spans="1:25" ht="30" customHeight="1">
      <c r="A27" s="21"/>
      <c r="B27" s="19"/>
      <c r="C27" s="19"/>
      <c r="D27" s="19"/>
      <c r="E27" s="19"/>
      <c r="F27" s="19"/>
      <c r="G27" s="19"/>
      <c r="H27" s="46"/>
      <c r="I27" s="19">
        <f t="shared" si="5"/>
        <v>0</v>
      </c>
      <c r="J27" s="46"/>
      <c r="K27" s="19">
        <f t="shared" si="7"/>
        <v>0</v>
      </c>
      <c r="L27" s="22" t="s">
        <v>83</v>
      </c>
      <c r="M27" s="19" t="e">
        <f t="shared" ref="M27:R27" si="18">SUM(M28:M30)</f>
        <v>#REF!</v>
      </c>
      <c r="N27" s="19">
        <f t="shared" si="18"/>
        <v>22073</v>
      </c>
      <c r="O27" s="19">
        <f t="shared" si="18"/>
        <v>0</v>
      </c>
      <c r="P27" s="19">
        <f t="shared" si="18"/>
        <v>0</v>
      </c>
      <c r="Q27" s="19">
        <f t="shared" si="18"/>
        <v>137395</v>
      </c>
      <c r="R27" s="19">
        <f t="shared" si="18"/>
        <v>46895</v>
      </c>
      <c r="S27" s="46"/>
      <c r="T27" s="19">
        <f t="shared" si="3"/>
        <v>46895</v>
      </c>
      <c r="U27" s="46">
        <f t="shared" si="10"/>
        <v>1.1245412947945455</v>
      </c>
      <c r="V27" s="19">
        <f t="shared" si="4"/>
        <v>24822</v>
      </c>
      <c r="W27" s="17"/>
    </row>
    <row r="28" spans="1:25" ht="45" customHeight="1">
      <c r="A28" s="21"/>
      <c r="B28" s="19"/>
      <c r="C28" s="19"/>
      <c r="D28" s="19"/>
      <c r="E28" s="19"/>
      <c r="F28" s="19"/>
      <c r="G28" s="19"/>
      <c r="H28" s="46"/>
      <c r="I28" s="19">
        <f t="shared" si="5"/>
        <v>0</v>
      </c>
      <c r="J28" s="46"/>
      <c r="K28" s="19">
        <f t="shared" si="7"/>
        <v>0</v>
      </c>
      <c r="L28" s="47" t="s">
        <v>38</v>
      </c>
      <c r="M28" s="19">
        <f>B13-M19</f>
        <v>0</v>
      </c>
      <c r="N28" s="19">
        <f>C13-N19</f>
        <v>9687</v>
      </c>
      <c r="O28" s="19"/>
      <c r="P28" s="19"/>
      <c r="Q28" s="19">
        <f>F13-Q19</f>
        <v>87603</v>
      </c>
      <c r="R28" s="19">
        <f>G13-R19</f>
        <v>27603</v>
      </c>
      <c r="S28" s="46"/>
      <c r="T28" s="19">
        <f t="shared" si="3"/>
        <v>27603</v>
      </c>
      <c r="U28" s="46">
        <f t="shared" si="10"/>
        <v>1.8494890058841746</v>
      </c>
      <c r="V28" s="19">
        <f t="shared" si="4"/>
        <v>17916</v>
      </c>
      <c r="W28" s="17"/>
    </row>
    <row r="29" spans="1:25" ht="45" customHeight="1">
      <c r="A29" s="21"/>
      <c r="B29" s="19"/>
      <c r="C29" s="19"/>
      <c r="D29" s="19"/>
      <c r="E29" s="19"/>
      <c r="F29" s="19"/>
      <c r="G29" s="19"/>
      <c r="H29" s="46"/>
      <c r="I29" s="19">
        <f t="shared" si="5"/>
        <v>0</v>
      </c>
      <c r="J29" s="46"/>
      <c r="K29" s="19">
        <f t="shared" si="7"/>
        <v>0</v>
      </c>
      <c r="L29" s="47" t="s">
        <v>39</v>
      </c>
      <c r="M29" s="19">
        <f>B14-M20</f>
        <v>0</v>
      </c>
      <c r="N29" s="19">
        <f>C14-N20</f>
        <v>9714</v>
      </c>
      <c r="O29" s="19"/>
      <c r="P29" s="19"/>
      <c r="Q29" s="19">
        <f>F14-Q20</f>
        <v>38983</v>
      </c>
      <c r="R29" s="19">
        <f>G14-R20</f>
        <v>8983</v>
      </c>
      <c r="S29" s="46"/>
      <c r="T29" s="19">
        <f t="shared" si="3"/>
        <v>8983</v>
      </c>
      <c r="U29" s="46">
        <f t="shared" si="10"/>
        <v>-7.5252213300391224E-2</v>
      </c>
      <c r="V29" s="19">
        <f t="shared" si="4"/>
        <v>-731</v>
      </c>
      <c r="W29" s="17"/>
    </row>
    <row r="30" spans="1:25" ht="39.950000000000003" customHeight="1">
      <c r="A30" s="21"/>
      <c r="B30" s="19"/>
      <c r="C30" s="19"/>
      <c r="D30" s="19"/>
      <c r="E30" s="19"/>
      <c r="F30" s="19"/>
      <c r="G30" s="19"/>
      <c r="H30" s="46"/>
      <c r="I30" s="19">
        <f t="shared" si="5"/>
        <v>0</v>
      </c>
      <c r="J30" s="46"/>
      <c r="K30" s="19">
        <f t="shared" si="7"/>
        <v>0</v>
      </c>
      <c r="L30" s="47" t="s">
        <v>40</v>
      </c>
      <c r="M30" s="19" t="e">
        <f>B20+#REF!-M21</f>
        <v>#REF!</v>
      </c>
      <c r="N30" s="19">
        <f>C20-N21</f>
        <v>2672</v>
      </c>
      <c r="O30" s="19"/>
      <c r="P30" s="19"/>
      <c r="Q30" s="19">
        <f>F20-Q21</f>
        <v>10809</v>
      </c>
      <c r="R30" s="19">
        <f>G20-R21</f>
        <v>10309</v>
      </c>
      <c r="S30" s="46"/>
      <c r="T30" s="19">
        <f t="shared" si="3"/>
        <v>10309</v>
      </c>
      <c r="U30" s="46">
        <f t="shared" si="10"/>
        <v>2.8581586826347305</v>
      </c>
      <c r="V30" s="19">
        <f t="shared" si="4"/>
        <v>7637</v>
      </c>
      <c r="W30" s="17"/>
    </row>
    <row r="31" spans="1:25" ht="30" customHeight="1">
      <c r="A31" s="21"/>
      <c r="B31" s="19"/>
      <c r="C31" s="19"/>
      <c r="D31" s="19"/>
      <c r="E31" s="19"/>
      <c r="F31" s="19"/>
      <c r="G31" s="19"/>
      <c r="H31" s="46"/>
      <c r="I31" s="19">
        <f t="shared" si="5"/>
        <v>0</v>
      </c>
      <c r="J31" s="46"/>
      <c r="K31" s="19">
        <f t="shared" si="7"/>
        <v>0</v>
      </c>
      <c r="L31" s="43" t="s">
        <v>41</v>
      </c>
      <c r="M31" s="50" t="e">
        <f t="shared" ref="M31:R31" si="19">M6+M18+M21+M24</f>
        <v>#REF!</v>
      </c>
      <c r="N31" s="50">
        <f t="shared" si="19"/>
        <v>600544</v>
      </c>
      <c r="O31" s="50">
        <f t="shared" si="19"/>
        <v>694393</v>
      </c>
      <c r="P31" s="50">
        <f t="shared" si="19"/>
        <v>694393</v>
      </c>
      <c r="Q31" s="50">
        <f t="shared" si="19"/>
        <v>518227</v>
      </c>
      <c r="R31" s="50">
        <f t="shared" si="19"/>
        <v>645106</v>
      </c>
      <c r="S31" s="46">
        <f t="shared" si="9"/>
        <v>-7.0978538090101684E-2</v>
      </c>
      <c r="T31" s="19">
        <f t="shared" si="3"/>
        <v>-49287</v>
      </c>
      <c r="U31" s="46">
        <f t="shared" si="10"/>
        <v>7.4202722864602721E-2</v>
      </c>
      <c r="V31" s="19">
        <f t="shared" si="4"/>
        <v>44562</v>
      </c>
      <c r="W31" s="17"/>
    </row>
    <row r="32" spans="1:25" ht="45" customHeight="1">
      <c r="A32" s="44" t="s">
        <v>42</v>
      </c>
      <c r="B32" s="51" t="e">
        <f>B6+B11+#REF!+B18+B21+B22+B15+B23</f>
        <v>#REF!</v>
      </c>
      <c r="C32" s="51">
        <f>C6+C11+C18+C21+C22+C15+C23</f>
        <v>259598.66999999998</v>
      </c>
      <c r="D32" s="51">
        <f>D6+D11+D18+D21+D22+D15+D23</f>
        <v>230727</v>
      </c>
      <c r="E32" s="51">
        <f>E6+E11+E18+E21+E22+E15+E23</f>
        <v>230727</v>
      </c>
      <c r="F32" s="51">
        <f>F6+F11+F18+F21+F22+F15+F23</f>
        <v>205815</v>
      </c>
      <c r="G32" s="59">
        <f>G6+G11+G18+G21+G22+G15+G23</f>
        <v>214331</v>
      </c>
      <c r="H32" s="46">
        <f t="shared" si="13"/>
        <v>-7.1062337741140014E-2</v>
      </c>
      <c r="I32" s="19">
        <f>G32-D32</f>
        <v>-16396</v>
      </c>
      <c r="J32" s="46">
        <f t="shared" si="6"/>
        <v>-0.17437558520619534</v>
      </c>
      <c r="K32" s="19">
        <f t="shared" si="7"/>
        <v>-45267.669999999984</v>
      </c>
      <c r="L32" s="44" t="s">
        <v>43</v>
      </c>
      <c r="M32" s="51">
        <f t="shared" ref="M32:R32" si="20">M6+M23+M26+M25</f>
        <v>325564</v>
      </c>
      <c r="N32" s="50">
        <f t="shared" si="20"/>
        <v>305213</v>
      </c>
      <c r="O32" s="51">
        <f t="shared" si="20"/>
        <v>362997</v>
      </c>
      <c r="P32" s="51">
        <f t="shared" si="20"/>
        <v>362997</v>
      </c>
      <c r="Q32" s="51">
        <f t="shared" si="20"/>
        <v>273841</v>
      </c>
      <c r="R32" s="51">
        <f t="shared" si="20"/>
        <v>312451</v>
      </c>
      <c r="S32" s="46">
        <f t="shared" si="9"/>
        <v>-0.13924632985947538</v>
      </c>
      <c r="T32" s="19">
        <f t="shared" si="3"/>
        <v>-50546</v>
      </c>
      <c r="U32" s="46">
        <f t="shared" si="10"/>
        <v>2.3714586207009614E-2</v>
      </c>
      <c r="V32" s="19">
        <f t="shared" si="4"/>
        <v>7238</v>
      </c>
      <c r="W32" s="17"/>
    </row>
    <row r="33" spans="1:23" ht="45" customHeight="1">
      <c r="A33" s="44" t="s">
        <v>44</v>
      </c>
      <c r="B33" s="51" t="e">
        <f t="shared" ref="B33:F33" si="21">B6+B11+B12+B16+B17+B18+B19+B22+B23</f>
        <v>#REF!</v>
      </c>
      <c r="C33" s="51">
        <f t="shared" si="21"/>
        <v>607074.66999999993</v>
      </c>
      <c r="D33" s="51">
        <f t="shared" si="21"/>
        <v>596784</v>
      </c>
      <c r="E33" s="51">
        <f t="shared" si="21"/>
        <v>596784</v>
      </c>
      <c r="F33" s="51">
        <f t="shared" si="21"/>
        <v>619480</v>
      </c>
      <c r="G33" s="59">
        <f>G6+G11+G12+G16+G17+G18+G19+G22+G23</f>
        <v>627996</v>
      </c>
      <c r="H33" s="46">
        <f t="shared" si="13"/>
        <v>5.2300329767554166E-2</v>
      </c>
      <c r="I33" s="19">
        <f t="shared" si="5"/>
        <v>31212</v>
      </c>
      <c r="J33" s="46">
        <f t="shared" si="6"/>
        <v>3.4462531602578839E-2</v>
      </c>
      <c r="K33" s="19">
        <f t="shared" si="7"/>
        <v>20921.330000000075</v>
      </c>
      <c r="L33" s="44" t="s">
        <v>45</v>
      </c>
      <c r="M33" s="51" t="e">
        <f>M6+M18+M21+M24+M22+M26+M27</f>
        <v>#REF!</v>
      </c>
      <c r="N33" s="51">
        <f>N6+N18+N21+N24+N22+N25+N26+N27</f>
        <v>652689</v>
      </c>
      <c r="O33" s="51">
        <f>O6+O18+O21+O23+O24+O22+O25+O26+O27</f>
        <v>729054</v>
      </c>
      <c r="P33" s="51">
        <f>P6+P18+P21+P23+P24+P22+P25+P26+P27</f>
        <v>729054</v>
      </c>
      <c r="Q33" s="51">
        <f>Q6+Q18+Q21+Q23+Q24+Q22+Q25+Q26+Q27</f>
        <v>683606</v>
      </c>
      <c r="R33" s="51">
        <f>R6+R18+R21+R23+R24+R22+R25+R26+R27</f>
        <v>726116</v>
      </c>
      <c r="S33" s="46">
        <f t="shared" si="9"/>
        <v>-4.0298798168585392E-3</v>
      </c>
      <c r="T33" s="19">
        <f t="shared" si="3"/>
        <v>-2938</v>
      </c>
      <c r="U33" s="46">
        <f t="shared" si="10"/>
        <v>0.11249921478682801</v>
      </c>
      <c r="V33" s="19">
        <f t="shared" si="4"/>
        <v>73427</v>
      </c>
      <c r="W33" s="17"/>
    </row>
    <row r="34" spans="1:23" ht="39.950000000000003" customHeight="1">
      <c r="A34" s="44" t="s">
        <v>46</v>
      </c>
      <c r="B34" s="51"/>
      <c r="C34" s="51">
        <f>-N34-C35</f>
        <v>8899.3300000000745</v>
      </c>
      <c r="D34" s="51">
        <f>-O34-D35+O35</f>
        <v>0</v>
      </c>
      <c r="E34" s="51">
        <f>-P34-E35+P35</f>
        <v>0</v>
      </c>
      <c r="F34" s="51">
        <f>-Q34-F35+Q35</f>
        <v>0</v>
      </c>
      <c r="G34" s="59">
        <v>38895</v>
      </c>
      <c r="H34" s="46"/>
      <c r="I34" s="19">
        <f t="shared" si="5"/>
        <v>38895</v>
      </c>
      <c r="J34" s="46">
        <f t="shared" si="6"/>
        <v>3.3705537383150954</v>
      </c>
      <c r="K34" s="19">
        <f t="shared" si="7"/>
        <v>29995.669999999925</v>
      </c>
      <c r="L34" s="43" t="s">
        <v>47</v>
      </c>
      <c r="M34" s="51" t="e">
        <f t="shared" ref="M34:R34" si="22">B33-M33</f>
        <v>#REF!</v>
      </c>
      <c r="N34" s="52">
        <f t="shared" si="22"/>
        <v>-45614.330000000075</v>
      </c>
      <c r="O34" s="52">
        <f t="shared" si="22"/>
        <v>-132270</v>
      </c>
      <c r="P34" s="52">
        <f t="shared" si="22"/>
        <v>-132270</v>
      </c>
      <c r="Q34" s="52">
        <f t="shared" si="22"/>
        <v>-64126</v>
      </c>
      <c r="R34" s="52">
        <f t="shared" si="22"/>
        <v>-98120</v>
      </c>
      <c r="S34" s="46">
        <f t="shared" si="9"/>
        <v>-0.25818401753988052</v>
      </c>
      <c r="T34" s="19">
        <f t="shared" si="3"/>
        <v>34150</v>
      </c>
      <c r="U34" s="46">
        <f t="shared" si="10"/>
        <v>1.1510784001431094</v>
      </c>
      <c r="V34" s="19">
        <f t="shared" si="4"/>
        <v>-52505.669999999925</v>
      </c>
      <c r="W34" s="17"/>
    </row>
    <row r="35" spans="1:23" ht="45" customHeight="1">
      <c r="A35" s="44" t="s">
        <v>48</v>
      </c>
      <c r="B35" s="51">
        <v>62579</v>
      </c>
      <c r="C35" s="51">
        <f>基金收支平衡表!N23</f>
        <v>36715</v>
      </c>
      <c r="D35" s="51">
        <f>基金收支平衡表!O23</f>
        <v>132270</v>
      </c>
      <c r="E35" s="51">
        <f>基金收支平衡表!P23</f>
        <v>132270</v>
      </c>
      <c r="F35" s="51">
        <f>基金收支平衡表!Q23</f>
        <v>52372</v>
      </c>
      <c r="G35" s="59">
        <f>基金收支平衡表!R23</f>
        <v>59225</v>
      </c>
      <c r="H35" s="46">
        <f t="shared" si="13"/>
        <v>-0.55224162697512669</v>
      </c>
      <c r="I35" s="19">
        <f t="shared" si="5"/>
        <v>-73045</v>
      </c>
      <c r="J35" s="46">
        <f t="shared" si="6"/>
        <v>0.6131009124336102</v>
      </c>
      <c r="K35" s="19">
        <f t="shared" si="7"/>
        <v>22510</v>
      </c>
      <c r="L35" s="44" t="s">
        <v>49</v>
      </c>
      <c r="M35" s="51"/>
      <c r="N35" s="51">
        <f>C34+C35+N34</f>
        <v>0</v>
      </c>
      <c r="O35" s="51">
        <f>D35+O34</f>
        <v>0</v>
      </c>
      <c r="P35" s="51">
        <f>E35+P34</f>
        <v>0</v>
      </c>
      <c r="Q35" s="51">
        <f>F35+Q34</f>
        <v>-11754</v>
      </c>
      <c r="R35" s="51">
        <f>G35+R34+G34</f>
        <v>0</v>
      </c>
      <c r="S35" s="46"/>
      <c r="T35" s="19">
        <f t="shared" si="3"/>
        <v>0</v>
      </c>
      <c r="U35" s="46"/>
      <c r="V35" s="19">
        <f t="shared" si="4"/>
        <v>0</v>
      </c>
      <c r="W35" s="17"/>
    </row>
    <row r="38" spans="1:23">
      <c r="N38" s="17"/>
      <c r="O38" s="17"/>
      <c r="P38" s="17"/>
      <c r="Q38" s="17"/>
      <c r="R38" s="18">
        <f>R27/R31</f>
        <v>7.2693479831221541E-2</v>
      </c>
    </row>
    <row r="39" spans="1:23" ht="48.75" customHeight="1">
      <c r="A39" s="82" t="s">
        <v>152</v>
      </c>
      <c r="B39" s="82"/>
      <c r="C39" s="82"/>
      <c r="D39" s="82"/>
      <c r="E39" s="82"/>
      <c r="F39" s="82"/>
      <c r="G39" s="82"/>
      <c r="H39" s="82"/>
      <c r="I39" s="82"/>
      <c r="J39" s="82"/>
      <c r="K39" s="82"/>
      <c r="L39" s="82"/>
      <c r="M39" s="82"/>
      <c r="N39" s="82"/>
      <c r="O39" s="82"/>
      <c r="P39" s="82"/>
      <c r="Q39" s="82"/>
      <c r="R39" s="82"/>
      <c r="S39" s="82"/>
      <c r="T39" s="82"/>
      <c r="U39" s="82"/>
    </row>
    <row r="40" spans="1:23">
      <c r="N40" s="17"/>
      <c r="O40" s="17"/>
      <c r="P40" s="17"/>
      <c r="Q40" s="17"/>
      <c r="R40" s="17"/>
    </row>
    <row r="41" spans="1:23">
      <c r="N41" s="17"/>
    </row>
    <row r="42" spans="1:23">
      <c r="C42" s="16"/>
      <c r="G42" s="17"/>
      <c r="N42" s="17"/>
      <c r="O42" s="17"/>
      <c r="P42" s="17"/>
      <c r="Q42" s="17"/>
      <c r="R42" s="17"/>
    </row>
    <row r="43" spans="1:23">
      <c r="N43" s="17"/>
      <c r="O43" s="17"/>
      <c r="P43" s="17"/>
      <c r="Q43" s="17"/>
      <c r="R43" s="17"/>
      <c r="S43" s="17"/>
    </row>
    <row r="44" spans="1:23">
      <c r="C44" s="16"/>
      <c r="N44" s="17"/>
      <c r="O44" s="17"/>
      <c r="P44" s="17"/>
      <c r="Q44" s="17"/>
      <c r="R44" s="17"/>
      <c r="S44" s="17"/>
    </row>
    <row r="45" spans="1:23">
      <c r="N45" s="17"/>
      <c r="O45" s="17"/>
      <c r="P45" s="17"/>
      <c r="Q45" s="17"/>
      <c r="R45" s="17"/>
    </row>
    <row r="46" spans="1:23">
      <c r="N46" s="17"/>
      <c r="O46" s="17"/>
      <c r="P46" s="17"/>
      <c r="Q46" s="17"/>
      <c r="R46" s="17"/>
    </row>
    <row r="47" spans="1:23">
      <c r="N47" s="17"/>
      <c r="O47" s="17"/>
      <c r="P47" s="17"/>
      <c r="Q47" s="17"/>
      <c r="R47" s="17"/>
    </row>
    <row r="48" spans="1:23">
      <c r="N48" s="17"/>
      <c r="O48" s="17"/>
      <c r="P48" s="17"/>
      <c r="Q48" s="17"/>
      <c r="R48" s="17"/>
    </row>
    <row r="50" spans="14:14">
      <c r="N50" s="17"/>
    </row>
  </sheetData>
  <mergeCells count="5">
    <mergeCell ref="A4:K4"/>
    <mergeCell ref="L4:V4"/>
    <mergeCell ref="A2:V2"/>
    <mergeCell ref="M3:V3"/>
    <mergeCell ref="A39:U39"/>
  </mergeCells>
  <phoneticPr fontId="5" type="noConversion"/>
  <printOptions horizontalCentered="1"/>
  <pageMargins left="0.47244094488188981" right="0.47244094488188981" top="0.59055118110236227" bottom="0.47244094488188981" header="0" footer="0.19685039370078741"/>
  <pageSetup paperSize="9" scale="52" fitToHeight="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X33"/>
  <sheetViews>
    <sheetView showZeros="0" tabSelected="1" zoomScale="70" zoomScaleNormal="70" workbookViewId="0">
      <selection activeCell="S9" sqref="S9"/>
    </sheetView>
  </sheetViews>
  <sheetFormatPr defaultColWidth="9" defaultRowHeight="14.25"/>
  <cols>
    <col min="1" max="1" width="35.5" style="2" customWidth="1"/>
    <col min="2" max="2" width="12.625" style="2" hidden="1" customWidth="1"/>
    <col min="3" max="4" width="12.625" style="2" customWidth="1"/>
    <col min="5" max="5" width="14" style="2" customWidth="1"/>
    <col min="6" max="6" width="14" style="2" hidden="1" customWidth="1"/>
    <col min="7" max="7" width="14" style="2" customWidth="1"/>
    <col min="8" max="10" width="12.625" style="2" customWidth="1"/>
    <col min="11" max="11" width="12.625" style="2" hidden="1" customWidth="1"/>
    <col min="12" max="12" width="35.5" style="2" customWidth="1"/>
    <col min="13" max="13" width="12.625" style="2" hidden="1" customWidth="1"/>
    <col min="14" max="15" width="12.625" style="2" customWidth="1"/>
    <col min="16" max="16" width="14" style="2" customWidth="1"/>
    <col min="17" max="17" width="14" style="2" hidden="1" customWidth="1"/>
    <col min="18" max="18" width="14" style="2" customWidth="1"/>
    <col min="19" max="21" width="12.625" style="2" customWidth="1"/>
    <col min="22" max="22" width="12.625" style="2" hidden="1" customWidth="1"/>
    <col min="23" max="23" width="9" style="2"/>
    <col min="24" max="24" width="11.125" style="2" bestFit="1" customWidth="1"/>
    <col min="25" max="16384" width="9" style="2"/>
  </cols>
  <sheetData>
    <row r="1" spans="1:24" ht="20.100000000000001" customHeight="1">
      <c r="A1" s="3" t="s">
        <v>130</v>
      </c>
      <c r="B1" s="4"/>
      <c r="C1" s="4"/>
      <c r="D1" s="4"/>
      <c r="E1" s="4"/>
      <c r="F1" s="4"/>
      <c r="G1" s="4"/>
      <c r="H1" s="4"/>
      <c r="I1" s="4"/>
      <c r="J1" s="4"/>
      <c r="K1" s="4"/>
      <c r="L1" s="4"/>
      <c r="M1" s="4"/>
      <c r="N1" s="4"/>
      <c r="O1" s="4"/>
      <c r="P1" s="4"/>
      <c r="Q1" s="4"/>
      <c r="R1" s="4"/>
      <c r="S1" s="4"/>
      <c r="T1" s="4"/>
      <c r="U1" s="4"/>
      <c r="V1" s="4"/>
    </row>
    <row r="2" spans="1:24" ht="39.950000000000003" customHeight="1">
      <c r="A2" s="80" t="s">
        <v>50</v>
      </c>
      <c r="B2" s="80"/>
      <c r="C2" s="80"/>
      <c r="D2" s="80"/>
      <c r="E2" s="80"/>
      <c r="F2" s="80"/>
      <c r="G2" s="80"/>
      <c r="H2" s="80"/>
      <c r="I2" s="80"/>
      <c r="J2" s="80"/>
      <c r="K2" s="80"/>
      <c r="L2" s="80"/>
      <c r="M2" s="80"/>
      <c r="N2" s="80"/>
      <c r="O2" s="80"/>
      <c r="P2" s="80"/>
      <c r="Q2" s="80"/>
      <c r="R2" s="80"/>
      <c r="S2" s="80"/>
      <c r="T2" s="80"/>
      <c r="U2" s="80"/>
      <c r="V2" s="80"/>
    </row>
    <row r="3" spans="1:24" ht="23.25" customHeight="1">
      <c r="A3" s="4"/>
      <c r="B3" s="4"/>
      <c r="C3" s="4"/>
      <c r="D3" s="4"/>
      <c r="E3" s="4"/>
      <c r="F3" s="4"/>
      <c r="G3" s="4"/>
      <c r="H3" s="4"/>
      <c r="I3" s="4"/>
      <c r="J3" s="4"/>
      <c r="K3" s="4"/>
      <c r="L3" s="4"/>
      <c r="M3" s="83" t="s">
        <v>1</v>
      </c>
      <c r="N3" s="83"/>
      <c r="O3" s="83"/>
      <c r="P3" s="83"/>
      <c r="Q3" s="83"/>
      <c r="R3" s="83"/>
      <c r="S3" s="83"/>
      <c r="T3" s="83"/>
      <c r="U3" s="83"/>
      <c r="V3" s="83"/>
    </row>
    <row r="4" spans="1:24" ht="39.950000000000003" customHeight="1">
      <c r="A4" s="84" t="s">
        <v>2</v>
      </c>
      <c r="B4" s="85"/>
      <c r="C4" s="85"/>
      <c r="D4" s="85"/>
      <c r="E4" s="85"/>
      <c r="F4" s="85"/>
      <c r="G4" s="85"/>
      <c r="H4" s="85"/>
      <c r="I4" s="85"/>
      <c r="J4" s="85"/>
      <c r="K4" s="86"/>
      <c r="L4" s="79" t="s">
        <v>3</v>
      </c>
      <c r="M4" s="79"/>
      <c r="N4" s="79"/>
      <c r="O4" s="79"/>
      <c r="P4" s="79"/>
      <c r="Q4" s="79"/>
      <c r="R4" s="79"/>
      <c r="S4" s="79"/>
      <c r="T4" s="79"/>
      <c r="U4" s="79"/>
      <c r="V4" s="79"/>
      <c r="W4" s="61"/>
    </row>
    <row r="5" spans="1:24" s="1" customFormat="1" ht="48" customHeight="1">
      <c r="A5" s="43" t="s">
        <v>4</v>
      </c>
      <c r="B5" s="20" t="s">
        <v>149</v>
      </c>
      <c r="C5" s="20" t="s">
        <v>146</v>
      </c>
      <c r="D5" s="20" t="s">
        <v>73</v>
      </c>
      <c r="E5" s="20" t="s">
        <v>85</v>
      </c>
      <c r="F5" s="20" t="s">
        <v>128</v>
      </c>
      <c r="G5" s="20" t="s">
        <v>150</v>
      </c>
      <c r="H5" s="60" t="s">
        <v>141</v>
      </c>
      <c r="I5" s="60" t="s">
        <v>144</v>
      </c>
      <c r="J5" s="60" t="s">
        <v>143</v>
      </c>
      <c r="K5" s="60" t="s">
        <v>145</v>
      </c>
      <c r="L5" s="44" t="s">
        <v>4</v>
      </c>
      <c r="M5" s="20" t="s">
        <v>149</v>
      </c>
      <c r="N5" s="20" t="s">
        <v>146</v>
      </c>
      <c r="O5" s="20" t="s">
        <v>73</v>
      </c>
      <c r="P5" s="20" t="s">
        <v>85</v>
      </c>
      <c r="Q5" s="20" t="s">
        <v>128</v>
      </c>
      <c r="R5" s="20" t="s">
        <v>150</v>
      </c>
      <c r="S5" s="60" t="s">
        <v>141</v>
      </c>
      <c r="T5" s="60" t="s">
        <v>142</v>
      </c>
      <c r="U5" s="60" t="s">
        <v>143</v>
      </c>
      <c r="V5" s="60" t="s">
        <v>145</v>
      </c>
    </row>
    <row r="6" spans="1:24" s="1" customFormat="1" ht="48" customHeight="1">
      <c r="A6" s="45" t="s">
        <v>51</v>
      </c>
      <c r="B6" s="19">
        <f t="shared" ref="B6:D6" si="0">SUM(B7:B12)</f>
        <v>124600</v>
      </c>
      <c r="C6" s="19">
        <f t="shared" si="0"/>
        <v>93021</v>
      </c>
      <c r="D6" s="19">
        <f t="shared" si="0"/>
        <v>196591</v>
      </c>
      <c r="E6" s="19">
        <f t="shared" ref="E6:F6" si="1">SUM(E7:E12)</f>
        <v>196591</v>
      </c>
      <c r="F6" s="19">
        <f t="shared" si="1"/>
        <v>80087</v>
      </c>
      <c r="G6" s="19">
        <f>SUM(G7:G12)</f>
        <v>104691</v>
      </c>
      <c r="H6" s="46">
        <f>G6/D6-1</f>
        <v>-0.46746799192231592</v>
      </c>
      <c r="I6" s="19">
        <f t="shared" ref="I6:I23" si="2">G6-D6</f>
        <v>-91900</v>
      </c>
      <c r="J6" s="46">
        <f>G6/C6-1</f>
        <v>0.12545554229690059</v>
      </c>
      <c r="K6" s="19">
        <f>G6-C6</f>
        <v>11670</v>
      </c>
      <c r="L6" s="47" t="s">
        <v>52</v>
      </c>
      <c r="M6" s="19">
        <f>SUM(M7:M9)</f>
        <v>62021</v>
      </c>
      <c r="N6" s="19">
        <f>SUM(N7:N10)</f>
        <v>58086</v>
      </c>
      <c r="O6" s="19">
        <f>SUM(O7:O10)</f>
        <v>62811</v>
      </c>
      <c r="P6" s="19">
        <f>SUM(P7:P10)</f>
        <v>62811</v>
      </c>
      <c r="Q6" s="19">
        <f>SUM(Q7:Q10)</f>
        <v>27720</v>
      </c>
      <c r="R6" s="19">
        <f>SUM(R7:R10)</f>
        <v>43961</v>
      </c>
      <c r="S6" s="46">
        <f t="shared" ref="S6:S23" si="3">R6/O6-1</f>
        <v>-0.30010666921399121</v>
      </c>
      <c r="T6" s="19">
        <f t="shared" ref="T6:T23" si="4">R6-O6</f>
        <v>-18850</v>
      </c>
      <c r="U6" s="46">
        <f>R6/N6-1</f>
        <v>-0.24317391454050885</v>
      </c>
      <c r="V6" s="19">
        <f>R6-N6</f>
        <v>-14125</v>
      </c>
      <c r="X6" s="7"/>
    </row>
    <row r="7" spans="1:24" s="1" customFormat="1" ht="74.25" customHeight="1">
      <c r="A7" s="47" t="s">
        <v>53</v>
      </c>
      <c r="B7" s="19">
        <v>110000</v>
      </c>
      <c r="C7" s="19">
        <v>54932</v>
      </c>
      <c r="D7" s="19">
        <v>180000</v>
      </c>
      <c r="E7" s="19">
        <v>180000</v>
      </c>
      <c r="F7" s="19">
        <v>70560</v>
      </c>
      <c r="G7" s="19">
        <f>F7+17000</f>
        <v>87560</v>
      </c>
      <c r="H7" s="46">
        <f t="shared" ref="H7:H23" si="5">G7/D7-1</f>
        <v>-0.51355555555555554</v>
      </c>
      <c r="I7" s="19">
        <f t="shared" si="2"/>
        <v>-92440</v>
      </c>
      <c r="J7" s="46">
        <f t="shared" ref="J7:J23" si="6">G7/C7-1</f>
        <v>0.59397072744484092</v>
      </c>
      <c r="K7" s="19">
        <f t="shared" ref="K7:K23" si="7">G7-C7</f>
        <v>32628</v>
      </c>
      <c r="L7" s="47" t="s">
        <v>54</v>
      </c>
      <c r="M7" s="19">
        <f>61021-400+1000</f>
        <v>61621</v>
      </c>
      <c r="N7" s="19">
        <f>57623-3000</f>
        <v>54623</v>
      </c>
      <c r="O7" s="19">
        <f>64321-O9-O10-O13</f>
        <v>62311</v>
      </c>
      <c r="P7" s="19">
        <f>64321-P9-P10-P13</f>
        <v>62311</v>
      </c>
      <c r="Q7" s="19">
        <v>27720</v>
      </c>
      <c r="R7" s="19">
        <f>27720+8618</f>
        <v>36338</v>
      </c>
      <c r="S7" s="46">
        <f t="shared" si="3"/>
        <v>-0.41682848935179984</v>
      </c>
      <c r="T7" s="19">
        <f t="shared" si="4"/>
        <v>-25973</v>
      </c>
      <c r="U7" s="46">
        <f t="shared" ref="U7:U23" si="8">R7/N7-1</f>
        <v>-0.33474909836515754</v>
      </c>
      <c r="V7" s="19">
        <f t="shared" ref="V7:V23" si="9">R7-N7</f>
        <v>-18285</v>
      </c>
    </row>
    <row r="8" spans="1:24" s="1" customFormat="1" ht="48" customHeight="1">
      <c r="A8" s="47" t="s">
        <v>55</v>
      </c>
      <c r="B8" s="19">
        <v>11000</v>
      </c>
      <c r="C8" s="19">
        <v>35945</v>
      </c>
      <c r="D8" s="19">
        <v>14391</v>
      </c>
      <c r="E8" s="19">
        <v>14391</v>
      </c>
      <c r="F8" s="19">
        <v>7896</v>
      </c>
      <c r="G8" s="19">
        <f>F8+7204</f>
        <v>15100</v>
      </c>
      <c r="H8" s="46">
        <f t="shared" si="5"/>
        <v>4.926690292543956E-2</v>
      </c>
      <c r="I8" s="19">
        <f t="shared" si="2"/>
        <v>709</v>
      </c>
      <c r="J8" s="46">
        <f t="shared" si="6"/>
        <v>-0.57991375712894699</v>
      </c>
      <c r="K8" s="19">
        <f t="shared" si="7"/>
        <v>-20845</v>
      </c>
      <c r="L8" s="47" t="s">
        <v>56</v>
      </c>
      <c r="M8" s="19"/>
      <c r="N8" s="19">
        <v>3000</v>
      </c>
      <c r="O8" s="19"/>
      <c r="P8" s="19"/>
      <c r="Q8" s="19"/>
      <c r="R8" s="19">
        <v>7086</v>
      </c>
      <c r="S8" s="46"/>
      <c r="T8" s="19">
        <f t="shared" si="4"/>
        <v>7086</v>
      </c>
      <c r="U8" s="46">
        <f t="shared" si="8"/>
        <v>1.3620000000000001</v>
      </c>
      <c r="V8" s="19">
        <f t="shared" si="9"/>
        <v>4086</v>
      </c>
      <c r="W8" s="7"/>
    </row>
    <row r="9" spans="1:24" s="1" customFormat="1" ht="48" customHeight="1">
      <c r="A9" s="47" t="s">
        <v>140</v>
      </c>
      <c r="B9" s="19">
        <v>400</v>
      </c>
      <c r="C9" s="19">
        <v>177</v>
      </c>
      <c r="D9" s="19">
        <v>200</v>
      </c>
      <c r="E9" s="19">
        <v>200</v>
      </c>
      <c r="F9" s="19"/>
      <c r="G9" s="19">
        <v>200</v>
      </c>
      <c r="H9" s="46">
        <f t="shared" si="5"/>
        <v>0</v>
      </c>
      <c r="I9" s="19">
        <f t="shared" si="2"/>
        <v>0</v>
      </c>
      <c r="J9" s="46">
        <f t="shared" si="6"/>
        <v>0.12994350282485878</v>
      </c>
      <c r="K9" s="19">
        <f t="shared" si="7"/>
        <v>23</v>
      </c>
      <c r="L9" s="47" t="s">
        <v>57</v>
      </c>
      <c r="M9" s="19">
        <v>400</v>
      </c>
      <c r="N9" s="19">
        <v>177</v>
      </c>
      <c r="O9" s="19">
        <v>200</v>
      </c>
      <c r="P9" s="19">
        <v>200</v>
      </c>
      <c r="Q9" s="19"/>
      <c r="R9" s="19">
        <v>200</v>
      </c>
      <c r="S9" s="46">
        <f t="shared" si="3"/>
        <v>0</v>
      </c>
      <c r="T9" s="19">
        <f t="shared" si="4"/>
        <v>0</v>
      </c>
      <c r="U9" s="46">
        <f t="shared" si="8"/>
        <v>0.12994350282485878</v>
      </c>
      <c r="V9" s="19">
        <f t="shared" si="9"/>
        <v>23</v>
      </c>
    </row>
    <row r="10" spans="1:24" s="1" customFormat="1" ht="48" customHeight="1">
      <c r="A10" s="47" t="s">
        <v>135</v>
      </c>
      <c r="B10" s="19"/>
      <c r="C10" s="19">
        <v>286</v>
      </c>
      <c r="D10" s="19">
        <v>300</v>
      </c>
      <c r="E10" s="19">
        <v>300</v>
      </c>
      <c r="F10" s="19">
        <v>337</v>
      </c>
      <c r="G10" s="19">
        <f>F10</f>
        <v>337</v>
      </c>
      <c r="H10" s="46">
        <f t="shared" si="5"/>
        <v>0.12333333333333329</v>
      </c>
      <c r="I10" s="19">
        <f t="shared" si="2"/>
        <v>37</v>
      </c>
      <c r="J10" s="46">
        <f t="shared" si="6"/>
        <v>0.17832167832167833</v>
      </c>
      <c r="K10" s="19">
        <f t="shared" si="7"/>
        <v>51</v>
      </c>
      <c r="L10" s="47" t="s">
        <v>58</v>
      </c>
      <c r="M10" s="19"/>
      <c r="N10" s="19">
        <v>286</v>
      </c>
      <c r="O10" s="19">
        <v>300</v>
      </c>
      <c r="P10" s="19">
        <v>300</v>
      </c>
      <c r="Q10" s="19"/>
      <c r="R10" s="19">
        <v>337</v>
      </c>
      <c r="S10" s="46">
        <f t="shared" si="3"/>
        <v>0.12333333333333329</v>
      </c>
      <c r="T10" s="19">
        <f t="shared" si="4"/>
        <v>37</v>
      </c>
      <c r="U10" s="46">
        <f t="shared" si="8"/>
        <v>0.17832167832167833</v>
      </c>
      <c r="V10" s="19">
        <f t="shared" si="9"/>
        <v>51</v>
      </c>
    </row>
    <row r="11" spans="1:24" s="1" customFormat="1" ht="48" customHeight="1">
      <c r="A11" s="47" t="s">
        <v>59</v>
      </c>
      <c r="B11" s="19">
        <v>1200</v>
      </c>
      <c r="C11" s="19">
        <v>1305</v>
      </c>
      <c r="D11" s="19">
        <v>1300</v>
      </c>
      <c r="E11" s="19">
        <v>1300</v>
      </c>
      <c r="F11" s="19">
        <v>1294</v>
      </c>
      <c r="G11" s="19">
        <f>F11+200</f>
        <v>1494</v>
      </c>
      <c r="H11" s="46">
        <f t="shared" si="5"/>
        <v>0.14923076923076928</v>
      </c>
      <c r="I11" s="19">
        <f t="shared" si="2"/>
        <v>194</v>
      </c>
      <c r="J11" s="46">
        <f t="shared" si="6"/>
        <v>0.14482758620689662</v>
      </c>
      <c r="K11" s="19">
        <f t="shared" si="7"/>
        <v>189</v>
      </c>
      <c r="L11" s="47" t="s">
        <v>60</v>
      </c>
      <c r="M11" s="19">
        <f>B13</f>
        <v>24253</v>
      </c>
      <c r="N11" s="19">
        <f>102446-65000+99</f>
        <v>37545</v>
      </c>
      <c r="O11" s="19">
        <f>D13</f>
        <v>40000</v>
      </c>
      <c r="P11" s="19">
        <f>E13</f>
        <v>40000</v>
      </c>
      <c r="Q11" s="19">
        <f>150770-Q14-Q15</f>
        <v>43760</v>
      </c>
      <c r="R11" s="19">
        <f>Q11+10000</f>
        <v>53760</v>
      </c>
      <c r="S11" s="46">
        <f t="shared" si="3"/>
        <v>0.34400000000000008</v>
      </c>
      <c r="T11" s="19">
        <f t="shared" si="4"/>
        <v>13760</v>
      </c>
      <c r="U11" s="46">
        <f t="shared" si="8"/>
        <v>0.43188174190970829</v>
      </c>
      <c r="V11" s="19">
        <f t="shared" si="9"/>
        <v>16215</v>
      </c>
      <c r="X11" s="7"/>
    </row>
    <row r="12" spans="1:24" s="1" customFormat="1" ht="48" customHeight="1">
      <c r="A12" s="47" t="s">
        <v>134</v>
      </c>
      <c r="B12" s="19">
        <v>2000</v>
      </c>
      <c r="C12" s="19">
        <v>376</v>
      </c>
      <c r="D12" s="19">
        <v>400</v>
      </c>
      <c r="E12" s="19">
        <v>400</v>
      </c>
      <c r="F12" s="19"/>
      <c r="G12" s="19">
        <f>F12</f>
        <v>0</v>
      </c>
      <c r="H12" s="46">
        <f t="shared" si="5"/>
        <v>-1</v>
      </c>
      <c r="I12" s="19">
        <f t="shared" si="2"/>
        <v>-400</v>
      </c>
      <c r="J12" s="46">
        <f t="shared" si="6"/>
        <v>-1</v>
      </c>
      <c r="K12" s="19">
        <f t="shared" si="7"/>
        <v>-376</v>
      </c>
      <c r="L12" s="47" t="s">
        <v>137</v>
      </c>
      <c r="M12" s="19"/>
      <c r="N12" s="19"/>
      <c r="O12" s="19">
        <v>12500</v>
      </c>
      <c r="P12" s="19">
        <v>12500</v>
      </c>
      <c r="Q12" s="19">
        <v>12500</v>
      </c>
      <c r="R12" s="19">
        <v>12500</v>
      </c>
      <c r="S12" s="46">
        <f t="shared" si="3"/>
        <v>0</v>
      </c>
      <c r="T12" s="19">
        <f t="shared" si="4"/>
        <v>0</v>
      </c>
      <c r="U12" s="46"/>
      <c r="V12" s="19">
        <f t="shared" si="9"/>
        <v>12500</v>
      </c>
    </row>
    <row r="13" spans="1:24" s="1" customFormat="1" ht="48" customHeight="1">
      <c r="A13" s="45" t="s">
        <v>61</v>
      </c>
      <c r="B13" s="19">
        <v>24253</v>
      </c>
      <c r="C13" s="19">
        <f>104118-65000</f>
        <v>39118</v>
      </c>
      <c r="D13" s="19">
        <v>40000</v>
      </c>
      <c r="E13" s="19">
        <v>40000</v>
      </c>
      <c r="F13" s="19">
        <v>56722</v>
      </c>
      <c r="G13" s="19">
        <v>56722</v>
      </c>
      <c r="H13" s="46">
        <f t="shared" si="5"/>
        <v>0.41805000000000003</v>
      </c>
      <c r="I13" s="19">
        <f t="shared" si="2"/>
        <v>16722</v>
      </c>
      <c r="J13" s="46">
        <f t="shared" si="6"/>
        <v>0.45002300731121214</v>
      </c>
      <c r="K13" s="19">
        <f t="shared" si="7"/>
        <v>17604</v>
      </c>
      <c r="L13" s="47" t="s">
        <v>138</v>
      </c>
      <c r="M13" s="19"/>
      <c r="N13" s="19"/>
      <c r="O13" s="19">
        <v>1510</v>
      </c>
      <c r="P13" s="19">
        <v>1510</v>
      </c>
      <c r="Q13" s="19"/>
      <c r="R13" s="19">
        <v>1510</v>
      </c>
      <c r="S13" s="46">
        <f t="shared" si="3"/>
        <v>0</v>
      </c>
      <c r="T13" s="19">
        <f t="shared" si="4"/>
        <v>0</v>
      </c>
      <c r="U13" s="46"/>
      <c r="V13" s="19">
        <f t="shared" si="9"/>
        <v>1510</v>
      </c>
    </row>
    <row r="14" spans="1:24" s="1" customFormat="1" ht="48" customHeight="1">
      <c r="A14" s="45" t="s">
        <v>136</v>
      </c>
      <c r="B14" s="19"/>
      <c r="C14" s="19"/>
      <c r="D14" s="19">
        <v>12500</v>
      </c>
      <c r="E14" s="19">
        <v>12500</v>
      </c>
      <c r="F14" s="19">
        <v>12500</v>
      </c>
      <c r="G14" s="19">
        <v>12500</v>
      </c>
      <c r="H14" s="46">
        <f t="shared" si="5"/>
        <v>0</v>
      </c>
      <c r="I14" s="19">
        <f t="shared" si="2"/>
        <v>0</v>
      </c>
      <c r="J14" s="46"/>
      <c r="K14" s="19">
        <f t="shared" si="7"/>
        <v>12500</v>
      </c>
      <c r="L14" s="47" t="s">
        <v>62</v>
      </c>
      <c r="M14" s="19">
        <f>B15</f>
        <v>40000</v>
      </c>
      <c r="N14" s="19">
        <v>65000</v>
      </c>
      <c r="O14" s="19">
        <f>D15</f>
        <v>85000</v>
      </c>
      <c r="P14" s="19">
        <f>E15</f>
        <v>110000</v>
      </c>
      <c r="Q14" s="19">
        <v>87210</v>
      </c>
      <c r="R14" s="19">
        <f>G15</f>
        <v>110000</v>
      </c>
      <c r="S14" s="46">
        <f t="shared" si="3"/>
        <v>0.29411764705882359</v>
      </c>
      <c r="T14" s="19">
        <f t="shared" si="4"/>
        <v>25000</v>
      </c>
      <c r="U14" s="46">
        <f t="shared" si="8"/>
        <v>0.69230769230769229</v>
      </c>
      <c r="V14" s="19">
        <f t="shared" si="9"/>
        <v>45000</v>
      </c>
    </row>
    <row r="15" spans="1:24" s="1" customFormat="1" ht="48" customHeight="1">
      <c r="A15" s="45" t="s">
        <v>63</v>
      </c>
      <c r="B15" s="19">
        <v>40000</v>
      </c>
      <c r="C15" s="19">
        <v>65000</v>
      </c>
      <c r="D15" s="19">
        <v>85000</v>
      </c>
      <c r="E15" s="19">
        <f>85000+25000</f>
        <v>110000</v>
      </c>
      <c r="F15" s="19">
        <f>85000+25000</f>
        <v>110000</v>
      </c>
      <c r="G15" s="19">
        <f>85000+25000</f>
        <v>110000</v>
      </c>
      <c r="H15" s="46">
        <f t="shared" si="5"/>
        <v>0.29411764705882359</v>
      </c>
      <c r="I15" s="19">
        <f t="shared" si="2"/>
        <v>25000</v>
      </c>
      <c r="J15" s="46">
        <f t="shared" si="6"/>
        <v>0.69230769230769229</v>
      </c>
      <c r="K15" s="19">
        <f t="shared" si="7"/>
        <v>45000</v>
      </c>
      <c r="L15" s="22" t="s">
        <v>76</v>
      </c>
      <c r="M15" s="19"/>
      <c r="N15" s="19"/>
      <c r="O15" s="19"/>
      <c r="P15" s="19">
        <v>19800</v>
      </c>
      <c r="Q15" s="19">
        <v>19800</v>
      </c>
      <c r="R15" s="19">
        <v>19800</v>
      </c>
      <c r="S15" s="46"/>
      <c r="T15" s="19">
        <f t="shared" si="4"/>
        <v>19800</v>
      </c>
      <c r="U15" s="46"/>
      <c r="V15" s="19">
        <f t="shared" si="9"/>
        <v>19800</v>
      </c>
    </row>
    <row r="16" spans="1:24" s="1" customFormat="1" ht="48" customHeight="1">
      <c r="A16" s="21" t="s">
        <v>74</v>
      </c>
      <c r="B16" s="19"/>
      <c r="C16" s="19"/>
      <c r="D16" s="19"/>
      <c r="E16" s="19">
        <v>19800</v>
      </c>
      <c r="F16" s="19">
        <v>19800</v>
      </c>
      <c r="G16" s="19">
        <v>19800</v>
      </c>
      <c r="H16" s="46"/>
      <c r="I16" s="19">
        <f t="shared" si="2"/>
        <v>19800</v>
      </c>
      <c r="J16" s="46"/>
      <c r="K16" s="19">
        <f t="shared" si="7"/>
        <v>19800</v>
      </c>
      <c r="L16" s="47" t="s">
        <v>77</v>
      </c>
      <c r="M16" s="19">
        <f>B17</f>
        <v>25049</v>
      </c>
      <c r="N16" s="19">
        <f>19222-99</f>
        <v>19123</v>
      </c>
      <c r="O16" s="19">
        <f>D17</f>
        <v>5455</v>
      </c>
      <c r="P16" s="19">
        <f>E17</f>
        <v>5455</v>
      </c>
      <c r="Q16" s="19">
        <v>4003</v>
      </c>
      <c r="R16" s="19">
        <f>Q16+500</f>
        <v>4503</v>
      </c>
      <c r="S16" s="46">
        <f t="shared" si="3"/>
        <v>-0.17451879010082494</v>
      </c>
      <c r="T16" s="19">
        <f t="shared" si="4"/>
        <v>-952</v>
      </c>
      <c r="U16" s="46">
        <f t="shared" si="8"/>
        <v>-0.76452439470794331</v>
      </c>
      <c r="V16" s="19">
        <f t="shared" si="9"/>
        <v>-14620</v>
      </c>
    </row>
    <row r="17" spans="1:23" s="1" customFormat="1" ht="48" customHeight="1">
      <c r="A17" s="45" t="s">
        <v>75</v>
      </c>
      <c r="B17" s="19">
        <f t="shared" ref="B17:G17" si="10">B18+B19+B20</f>
        <v>25049</v>
      </c>
      <c r="C17" s="19">
        <f t="shared" si="10"/>
        <v>24785</v>
      </c>
      <c r="D17" s="19">
        <f t="shared" si="10"/>
        <v>5455</v>
      </c>
      <c r="E17" s="19">
        <f t="shared" si="10"/>
        <v>5455</v>
      </c>
      <c r="F17" s="19">
        <f t="shared" si="10"/>
        <v>5455</v>
      </c>
      <c r="G17" s="19">
        <f t="shared" si="10"/>
        <v>5455</v>
      </c>
      <c r="H17" s="46">
        <f t="shared" si="5"/>
        <v>0</v>
      </c>
      <c r="I17" s="19">
        <f t="shared" si="2"/>
        <v>0</v>
      </c>
      <c r="J17" s="46">
        <f t="shared" si="6"/>
        <v>-0.7799072019366553</v>
      </c>
      <c r="K17" s="19">
        <f t="shared" si="7"/>
        <v>-19330</v>
      </c>
      <c r="L17" s="53" t="s">
        <v>78</v>
      </c>
      <c r="M17" s="19">
        <f>SUM(M18:M19)</f>
        <v>0</v>
      </c>
      <c r="N17" s="19">
        <f>SUM(N18:N19)</f>
        <v>5455</v>
      </c>
      <c r="O17" s="19"/>
      <c r="P17" s="19"/>
      <c r="Q17" s="19">
        <f>Q18+Q19</f>
        <v>37199</v>
      </c>
      <c r="R17" s="19">
        <f>R18+R19</f>
        <v>3909</v>
      </c>
      <c r="S17" s="46"/>
      <c r="T17" s="19">
        <f t="shared" si="4"/>
        <v>3909</v>
      </c>
      <c r="U17" s="46">
        <f t="shared" si="8"/>
        <v>-0.28340971585701191</v>
      </c>
      <c r="V17" s="19">
        <f t="shared" si="9"/>
        <v>-1546</v>
      </c>
      <c r="W17" s="7"/>
    </row>
    <row r="18" spans="1:23" s="1" customFormat="1" ht="48" customHeight="1">
      <c r="A18" s="49" t="s">
        <v>29</v>
      </c>
      <c r="B18" s="19">
        <v>25049</v>
      </c>
      <c r="C18" s="19">
        <f>24959-258-1432</f>
        <v>23269</v>
      </c>
      <c r="D18" s="19">
        <f>N17</f>
        <v>5455</v>
      </c>
      <c r="E18" s="19">
        <v>5455</v>
      </c>
      <c r="F18" s="19">
        <f>5455-F19</f>
        <v>5450</v>
      </c>
      <c r="G18" s="19">
        <f>5455-G19</f>
        <v>5450</v>
      </c>
      <c r="H18" s="46">
        <f t="shared" si="5"/>
        <v>-9.1659028414303734E-4</v>
      </c>
      <c r="I18" s="19">
        <f t="shared" si="2"/>
        <v>-5</v>
      </c>
      <c r="J18" s="46">
        <f t="shared" si="6"/>
        <v>-0.76578280115174691</v>
      </c>
      <c r="K18" s="19">
        <f t="shared" si="7"/>
        <v>-17819</v>
      </c>
      <c r="L18" s="47" t="s">
        <v>64</v>
      </c>
      <c r="M18" s="19">
        <f>B13-M11</f>
        <v>0</v>
      </c>
      <c r="N18" s="19">
        <f>C13-N11</f>
        <v>1573</v>
      </c>
      <c r="O18" s="19"/>
      <c r="P18" s="19"/>
      <c r="Q18" s="19">
        <f>F13+F14+F15+F16-Q11-Q12-Q14-Q15</f>
        <v>35752</v>
      </c>
      <c r="R18" s="19">
        <f>G13+G14+G15+G16-R11-R12-R14-R15</f>
        <v>2962</v>
      </c>
      <c r="S18" s="46"/>
      <c r="T18" s="19">
        <f t="shared" si="4"/>
        <v>2962</v>
      </c>
      <c r="U18" s="46">
        <f t="shared" si="8"/>
        <v>0.88302606484424673</v>
      </c>
      <c r="V18" s="19">
        <f t="shared" si="9"/>
        <v>1389</v>
      </c>
    </row>
    <row r="19" spans="1:23" s="1" customFormat="1" ht="48" customHeight="1">
      <c r="A19" s="45" t="s">
        <v>31</v>
      </c>
      <c r="B19" s="19"/>
      <c r="C19" s="19">
        <f>61+29+258+1432</f>
        <v>1780</v>
      </c>
      <c r="D19" s="19"/>
      <c r="E19" s="19"/>
      <c r="F19" s="19">
        <v>5</v>
      </c>
      <c r="G19" s="19">
        <v>5</v>
      </c>
      <c r="H19" s="46"/>
      <c r="I19" s="19">
        <f t="shared" si="2"/>
        <v>5</v>
      </c>
      <c r="J19" s="46">
        <f t="shared" si="6"/>
        <v>-0.9971910112359551</v>
      </c>
      <c r="K19" s="19">
        <f t="shared" si="7"/>
        <v>-1775</v>
      </c>
      <c r="L19" s="47" t="s">
        <v>65</v>
      </c>
      <c r="M19" s="19">
        <f>B18+B20-M16</f>
        <v>0</v>
      </c>
      <c r="N19" s="19">
        <f>C18+C20-N16</f>
        <v>3882</v>
      </c>
      <c r="O19" s="19"/>
      <c r="P19" s="19"/>
      <c r="Q19" s="19">
        <f>F18-Q16</f>
        <v>1447</v>
      </c>
      <c r="R19" s="19">
        <f>G18-R16</f>
        <v>947</v>
      </c>
      <c r="S19" s="46"/>
      <c r="T19" s="19">
        <f t="shared" si="4"/>
        <v>947</v>
      </c>
      <c r="U19" s="46">
        <f t="shared" si="8"/>
        <v>-0.756053580628542</v>
      </c>
      <c r="V19" s="19">
        <f t="shared" si="9"/>
        <v>-2935</v>
      </c>
    </row>
    <row r="20" spans="1:23" s="1" customFormat="1" ht="48" customHeight="1">
      <c r="A20" s="45" t="s">
        <v>66</v>
      </c>
      <c r="B20" s="19">
        <v>0</v>
      </c>
      <c r="C20" s="54">
        <v>-264</v>
      </c>
      <c r="D20" s="19"/>
      <c r="E20" s="19"/>
      <c r="F20" s="19"/>
      <c r="G20" s="19"/>
      <c r="H20" s="46"/>
      <c r="I20" s="19">
        <f t="shared" si="2"/>
        <v>0</v>
      </c>
      <c r="J20" s="46">
        <f t="shared" si="6"/>
        <v>-1</v>
      </c>
      <c r="K20" s="19">
        <f t="shared" si="7"/>
        <v>264</v>
      </c>
      <c r="L20" s="43" t="s">
        <v>67</v>
      </c>
      <c r="M20" s="51">
        <f>M6+M11+M14+M16</f>
        <v>151323</v>
      </c>
      <c r="N20" s="51">
        <f>N6+N11+N14+N16</f>
        <v>179754</v>
      </c>
      <c r="O20" s="51">
        <f>O6+O11+O14+O16</f>
        <v>193266</v>
      </c>
      <c r="P20" s="51">
        <f>P6+P11+P14+P15+P16</f>
        <v>238066</v>
      </c>
      <c r="Q20" s="51">
        <f>Q6+Q11+Q14+Q15+Q16</f>
        <v>182493</v>
      </c>
      <c r="R20" s="51">
        <f>R6+R11+R14+R16</f>
        <v>212224</v>
      </c>
      <c r="S20" s="46">
        <f t="shared" si="3"/>
        <v>9.8092784038579017E-2</v>
      </c>
      <c r="T20" s="19">
        <f t="shared" si="4"/>
        <v>18958</v>
      </c>
      <c r="U20" s="46">
        <f t="shared" si="8"/>
        <v>0.18063575775782459</v>
      </c>
      <c r="V20" s="19">
        <f t="shared" si="9"/>
        <v>32470</v>
      </c>
    </row>
    <row r="21" spans="1:23" s="1" customFormat="1" ht="48" customHeight="1">
      <c r="A21" s="44" t="s">
        <v>68</v>
      </c>
      <c r="B21" s="51">
        <f t="shared" ref="B21:G21" si="11">B6+B19</f>
        <v>124600</v>
      </c>
      <c r="C21" s="51">
        <f t="shared" si="11"/>
        <v>94801</v>
      </c>
      <c r="D21" s="51">
        <f t="shared" si="11"/>
        <v>196591</v>
      </c>
      <c r="E21" s="51">
        <f t="shared" si="11"/>
        <v>196591</v>
      </c>
      <c r="F21" s="51">
        <f t="shared" si="11"/>
        <v>80092</v>
      </c>
      <c r="G21" s="51">
        <f t="shared" si="11"/>
        <v>104696</v>
      </c>
      <c r="H21" s="46">
        <f t="shared" si="5"/>
        <v>-0.46744255840806548</v>
      </c>
      <c r="I21" s="19">
        <f t="shared" si="2"/>
        <v>-91895</v>
      </c>
      <c r="J21" s="46">
        <f t="shared" si="6"/>
        <v>0.10437653611248821</v>
      </c>
      <c r="K21" s="19">
        <f t="shared" si="7"/>
        <v>9895</v>
      </c>
      <c r="L21" s="44" t="s">
        <v>69</v>
      </c>
      <c r="M21" s="51">
        <f t="shared" ref="M21:N21" si="12">M6+M13</f>
        <v>62021</v>
      </c>
      <c r="N21" s="51">
        <f t="shared" si="12"/>
        <v>58086</v>
      </c>
      <c r="O21" s="51">
        <f>O6+O13</f>
        <v>64321</v>
      </c>
      <c r="P21" s="51">
        <f>P6+P13</f>
        <v>64321</v>
      </c>
      <c r="Q21" s="51">
        <f>Q6+Q13</f>
        <v>27720</v>
      </c>
      <c r="R21" s="51">
        <f>R6+R13</f>
        <v>45471</v>
      </c>
      <c r="S21" s="46">
        <f t="shared" si="3"/>
        <v>-0.29306136409570749</v>
      </c>
      <c r="T21" s="19">
        <f t="shared" si="4"/>
        <v>-18850</v>
      </c>
      <c r="U21" s="46">
        <f t="shared" si="8"/>
        <v>-0.21717797748166512</v>
      </c>
      <c r="V21" s="19">
        <f t="shared" si="9"/>
        <v>-12615</v>
      </c>
    </row>
    <row r="22" spans="1:23" s="1" customFormat="1" ht="48" customHeight="1">
      <c r="A22" s="44" t="s">
        <v>70</v>
      </c>
      <c r="B22" s="51">
        <f>B6+B13+B14+B15+B17</f>
        <v>213902</v>
      </c>
      <c r="C22" s="51">
        <f>C6+C13+C14+C15+C17</f>
        <v>221924</v>
      </c>
      <c r="D22" s="51">
        <f>D6+D13+D14+D15+D17</f>
        <v>339546</v>
      </c>
      <c r="E22" s="51">
        <f>E6+E13+E14+E15+E16+E17</f>
        <v>384346</v>
      </c>
      <c r="F22" s="51">
        <f>F6+F13+F14+F15+F16+F17</f>
        <v>284564</v>
      </c>
      <c r="G22" s="51">
        <f>G6+G13+G14+G15+G16+G17</f>
        <v>309168</v>
      </c>
      <c r="H22" s="46">
        <f t="shared" si="5"/>
        <v>-8.9466522945344629E-2</v>
      </c>
      <c r="I22" s="19">
        <f t="shared" si="2"/>
        <v>-30378</v>
      </c>
      <c r="J22" s="46">
        <f t="shared" si="6"/>
        <v>0.39312557452100716</v>
      </c>
      <c r="K22" s="19">
        <f t="shared" si="7"/>
        <v>87244</v>
      </c>
      <c r="L22" s="55" t="s">
        <v>84</v>
      </c>
      <c r="M22" s="51">
        <f>M6+M11+M12+M14+M16+M17</f>
        <v>151323</v>
      </c>
      <c r="N22" s="51">
        <f>N6+N11+N12+N14+N16+N17</f>
        <v>185209</v>
      </c>
      <c r="O22" s="51">
        <f>O6+O11+O12+O13+O14+O16+O17</f>
        <v>207276</v>
      </c>
      <c r="P22" s="51">
        <f>P6+P11+P12+P13+P14+P15+P16+P17</f>
        <v>252076</v>
      </c>
      <c r="Q22" s="51">
        <f>Q6+Q11+Q12+Q13+Q14+Q16+Q17+Q15</f>
        <v>232192</v>
      </c>
      <c r="R22" s="51">
        <f>R6+R11+R12+R13+R14+R16+R17+R15</f>
        <v>249943</v>
      </c>
      <c r="S22" s="46">
        <f t="shared" si="3"/>
        <v>0.20584631119859509</v>
      </c>
      <c r="T22" s="19">
        <f>R22-O22</f>
        <v>42667</v>
      </c>
      <c r="U22" s="46">
        <f t="shared" si="8"/>
        <v>0.34951865190136555</v>
      </c>
      <c r="V22" s="19">
        <f t="shared" si="9"/>
        <v>64734</v>
      </c>
    </row>
    <row r="23" spans="1:23" ht="45" customHeight="1">
      <c r="A23" s="44" t="s">
        <v>71</v>
      </c>
      <c r="B23" s="51">
        <f t="shared" ref="B23:G23" si="13">B22-M22</f>
        <v>62579</v>
      </c>
      <c r="C23" s="51">
        <f t="shared" si="13"/>
        <v>36715</v>
      </c>
      <c r="D23" s="51">
        <f t="shared" si="13"/>
        <v>132270</v>
      </c>
      <c r="E23" s="51">
        <f t="shared" si="13"/>
        <v>132270</v>
      </c>
      <c r="F23" s="51">
        <f t="shared" si="13"/>
        <v>52372</v>
      </c>
      <c r="G23" s="51">
        <f t="shared" si="13"/>
        <v>59225</v>
      </c>
      <c r="H23" s="46">
        <f t="shared" si="5"/>
        <v>-0.55224162697512669</v>
      </c>
      <c r="I23" s="19">
        <f t="shared" si="2"/>
        <v>-73045</v>
      </c>
      <c r="J23" s="46">
        <f t="shared" si="6"/>
        <v>0.6131009124336102</v>
      </c>
      <c r="K23" s="19">
        <f t="shared" si="7"/>
        <v>22510</v>
      </c>
      <c r="L23" s="44" t="s">
        <v>72</v>
      </c>
      <c r="M23" s="51">
        <f t="shared" ref="M23:R23" si="14">B23</f>
        <v>62579</v>
      </c>
      <c r="N23" s="51">
        <f t="shared" si="14"/>
        <v>36715</v>
      </c>
      <c r="O23" s="51">
        <f t="shared" si="14"/>
        <v>132270</v>
      </c>
      <c r="P23" s="51">
        <f t="shared" si="14"/>
        <v>132270</v>
      </c>
      <c r="Q23" s="51">
        <f t="shared" si="14"/>
        <v>52372</v>
      </c>
      <c r="R23" s="51">
        <f t="shared" si="14"/>
        <v>59225</v>
      </c>
      <c r="S23" s="46">
        <f t="shared" si="3"/>
        <v>-0.55224162697512669</v>
      </c>
      <c r="T23" s="19">
        <f t="shared" si="4"/>
        <v>-73045</v>
      </c>
      <c r="U23" s="46">
        <f t="shared" si="8"/>
        <v>0.6131009124336102</v>
      </c>
      <c r="V23" s="19">
        <f t="shared" si="9"/>
        <v>22510</v>
      </c>
    </row>
    <row r="24" spans="1:23" ht="35.1" customHeight="1"/>
    <row r="25" spans="1:23" ht="35.1" customHeight="1">
      <c r="C25" s="5"/>
      <c r="N25" s="8"/>
    </row>
    <row r="26" spans="1:23" ht="35.1" customHeight="1">
      <c r="C26" s="6"/>
      <c r="N26" s="8"/>
      <c r="O26" s="8"/>
      <c r="P26" s="8"/>
      <c r="Q26" s="8"/>
      <c r="R26" s="8"/>
    </row>
    <row r="27" spans="1:23" ht="35.1" customHeight="1"/>
    <row r="28" spans="1:23" ht="35.1" customHeight="1"/>
    <row r="29" spans="1:23" ht="35.1" customHeight="1"/>
    <row r="30" spans="1:23" ht="35.1" customHeight="1"/>
    <row r="31" spans="1:23" ht="35.1" customHeight="1"/>
    <row r="32" spans="1:23" ht="35.1" customHeight="1"/>
    <row r="33" ht="35.1" customHeight="1"/>
  </sheetData>
  <mergeCells count="4">
    <mergeCell ref="L4:V4"/>
    <mergeCell ref="M3:V3"/>
    <mergeCell ref="A2:V2"/>
    <mergeCell ref="A4:K4"/>
  </mergeCells>
  <phoneticPr fontId="5" type="noConversion"/>
  <printOptions horizontalCentered="1"/>
  <pageMargins left="0.47244094488188981" right="0.47244094488188981" top="0.59055118110236227" bottom="0.47244094488188981" header="0" footer="0.19685039370078741"/>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支出调整汇总</vt:lpstr>
      <vt:lpstr>一般收支平衡表</vt:lpstr>
      <vt:lpstr>基金收支平衡表</vt:lpstr>
      <vt:lpstr>基金收支平衡表!Print_Area</vt:lpstr>
      <vt:lpstr>一般收支平衡表!Print_Area</vt:lpstr>
      <vt:lpstr>支出调整汇总!Print_Area</vt:lpstr>
      <vt:lpstr>一般收支平衡表!Print_Titles</vt:lpstr>
      <vt:lpstr>支出调整汇总!Print_Titles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2020-12-28T00:27:18Z</cp:lastPrinted>
  <dcterms:created xsi:type="dcterms:W3CDTF">2008-09-11T17:22:00Z</dcterms:created>
  <dcterms:modified xsi:type="dcterms:W3CDTF">2020-12-28T00:27:20Z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