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一般支出调整汇总" sheetId="4" state="hidden" r:id="rId1"/>
    <sheet name="一般收支平衡调整" sheetId="8" r:id="rId2"/>
    <sheet name="基金收支平衡调整" sheetId="13" r:id="rId3"/>
    <sheet name="收入表" sheetId="14" r:id="rId4"/>
    <sheet name="支出分类表" sheetId="15" r:id="rId5"/>
    <sheet name="支出明细表" sheetId="16" r:id="rId6"/>
    <sheet name="债务明细表" sheetId="17" r:id="rId7"/>
    <sheet name="新增债券" sheetId="18" r:id="rId8"/>
  </sheets>
  <definedNames>
    <definedName name="_xlnm.Print_Area" localSheetId="2">基金收支平衡调整!$A$1:$V$21</definedName>
    <definedName name="_xlnm.Print_Area" localSheetId="3">收入表!$A$1:$H$18</definedName>
    <definedName name="_xlnm.Print_Area" localSheetId="7">新增债券!$A$1:$G$24</definedName>
    <definedName name="_xlnm.Print_Area" localSheetId="1">一般收支平衡调整!$A$1:$V$35</definedName>
    <definedName name="_xlnm.Print_Area" localSheetId="0">一般支出调整汇总!$A$1:$L$28</definedName>
    <definedName name="_xlnm.Print_Area" localSheetId="6">债务明细表!$A$1:$S$59</definedName>
    <definedName name="_xlnm.Print_Area" localSheetId="4">支出分类表!$A$1:$K$28</definedName>
    <definedName name="_xlnm.Print_Area" localSheetId="5">支出明细表!$A$1:$E$35</definedName>
    <definedName name="_xlnm.Print_Titles" localSheetId="1">一般收支平衡调整!$1:$5</definedName>
    <definedName name="_xlnm.Print_Titles" localSheetId="6">债务明细表!$4:$4</definedName>
  </definedNames>
  <calcPr calcId="144525"/>
</workbook>
</file>

<file path=xl/comments1.xml><?xml version="1.0" encoding="utf-8"?>
<comments xmlns="http://schemas.openxmlformats.org/spreadsheetml/2006/main">
  <authors>
    <author>微软用户</author>
  </authors>
  <commentList>
    <comment ref="H10" authorId="0">
      <text>
        <r>
          <rPr>
            <b/>
            <sz val="9"/>
            <rFont val="宋体"/>
            <charset val="134"/>
          </rPr>
          <t xml:space="preserve">减去绩效，加上差额单位
</t>
        </r>
        <r>
          <rPr>
            <sz val="9"/>
            <rFont val="Tahoma"/>
            <charset val="134"/>
          </rPr>
          <t xml:space="preserve">
</t>
        </r>
      </text>
    </comment>
    <comment ref="H22" authorId="0">
      <text>
        <r>
          <rPr>
            <sz val="9"/>
            <rFont val="宋体"/>
            <charset val="134"/>
          </rPr>
          <t>减去绩效，减去生育工伤险，减去差额，减去离退休</t>
        </r>
        <r>
          <rPr>
            <sz val="9"/>
            <rFont val="Tahoma"/>
            <charset val="134"/>
          </rPr>
          <t xml:space="preserve">
</t>
        </r>
      </text>
    </comment>
  </commentList>
</comments>
</file>

<file path=xl/sharedStrings.xml><?xml version="1.0" encoding="utf-8"?>
<sst xmlns="http://schemas.openxmlformats.org/spreadsheetml/2006/main" count="998" uniqueCount="510">
  <si>
    <t>附件1</t>
  </si>
  <si>
    <r>
      <rPr>
        <b/>
        <sz val="20"/>
        <rFont val="宋体"/>
        <charset val="134"/>
      </rPr>
      <t>潮南区</t>
    </r>
    <r>
      <rPr>
        <b/>
        <sz val="20"/>
        <rFont val="Times New Roman"/>
        <charset val="134"/>
      </rPr>
      <t>2019</t>
    </r>
    <r>
      <rPr>
        <b/>
        <sz val="20"/>
        <rFont val="宋体"/>
        <charset val="134"/>
      </rPr>
      <t>年本级一般公共支出预算调整汇总表（按功能科目分类）</t>
    </r>
  </si>
  <si>
    <t>单位：万元</t>
  </si>
  <si>
    <t>支出分类</t>
  </si>
  <si>
    <t>2019年                   预算数</t>
  </si>
  <si>
    <t>截止                       11月30日                执行数</t>
  </si>
  <si>
    <t>欠拨数</t>
  </si>
  <si>
    <t>年底前                          拟拨数</t>
  </si>
  <si>
    <t>基本</t>
  </si>
  <si>
    <t>项目</t>
  </si>
  <si>
    <t>预计                   全年执行</t>
  </si>
  <si>
    <t>拟调整数</t>
  </si>
  <si>
    <t>说  明</t>
  </si>
  <si>
    <t>合计</t>
  </si>
  <si>
    <t>调增(+)</t>
  </si>
  <si>
    <t>调减(-)</t>
  </si>
  <si>
    <t>一、一般公共服务</t>
  </si>
  <si>
    <t>二、国防</t>
  </si>
  <si>
    <t>三、公共安全</t>
  </si>
  <si>
    <t>四、教育</t>
  </si>
  <si>
    <t>五、科学技术</t>
  </si>
  <si>
    <t>六、文化体育与传媒</t>
  </si>
  <si>
    <t>七、社会保障和就业</t>
  </si>
  <si>
    <t>八、卫生健康支出</t>
  </si>
  <si>
    <t>九、节能环保</t>
  </si>
  <si>
    <t>十、城乡社区事务</t>
  </si>
  <si>
    <t>十一、农林水事务</t>
  </si>
  <si>
    <t>十二、交通运输</t>
  </si>
  <si>
    <t>十三、资源勘探信息等支出</t>
  </si>
  <si>
    <t>十四、商业服务业等事务</t>
  </si>
  <si>
    <t>十五、自然资源海洋气象等支出</t>
  </si>
  <si>
    <t>十六、住房保障支出</t>
  </si>
  <si>
    <t>十七、粮油物资储备支出</t>
  </si>
  <si>
    <t>十八、灾害防治及应急管理支出</t>
  </si>
  <si>
    <t>十九、其他支出</t>
  </si>
  <si>
    <t>预留全区性专项经费及存量资金收回安排的预算支出按项目性质分解到各个科目反映</t>
  </si>
  <si>
    <t>二十、债务还本支出</t>
  </si>
  <si>
    <t>二十一、债务付息支出</t>
  </si>
  <si>
    <t>二十二、债务发行费用支出</t>
  </si>
  <si>
    <t>附表1：</t>
  </si>
  <si>
    <t>潮南区2019年一般公共预算收支总表</t>
  </si>
  <si>
    <t>收    入</t>
  </si>
  <si>
    <t>支    出</t>
  </si>
  <si>
    <t>项  目</t>
  </si>
  <si>
    <r>
      <rPr>
        <b/>
        <sz val="12"/>
        <rFont val="宋体"/>
        <charset val="134"/>
      </rPr>
      <t xml:space="preserve">年初 </t>
    </r>
    <r>
      <rPr>
        <b/>
        <sz val="12"/>
        <rFont val="宋体"/>
        <charset val="134"/>
      </rPr>
      <t xml:space="preserve">             </t>
    </r>
    <r>
      <rPr>
        <b/>
        <sz val="12"/>
        <rFont val="宋体"/>
        <charset val="134"/>
      </rPr>
      <t>预算数</t>
    </r>
  </si>
  <si>
    <t>上年           执行数</t>
  </si>
  <si>
    <t>第一次调整预算数</t>
  </si>
  <si>
    <t>第二次调整预算数</t>
  </si>
  <si>
    <t>全年             执行数</t>
  </si>
  <si>
    <t>变动率</t>
  </si>
  <si>
    <t>对比上年
增长率</t>
  </si>
  <si>
    <t>对比上年
增减额</t>
  </si>
  <si>
    <t>变动额</t>
  </si>
  <si>
    <t>一、本级一般公共预算收入</t>
  </si>
  <si>
    <t>一、本级一般公共预算支出</t>
  </si>
  <si>
    <t>（一）税收收入</t>
  </si>
  <si>
    <t>（一）基本支出</t>
  </si>
  <si>
    <t>（二）非税收入</t>
  </si>
  <si>
    <t>1.工资、离退休费、绩效工资、绩效考核奖金、年终奖</t>
  </si>
  <si>
    <t>1.税务部门</t>
  </si>
  <si>
    <t>①区直单位供养人员</t>
  </si>
  <si>
    <t>2.财政部门</t>
  </si>
  <si>
    <t>②镇级供养人员</t>
  </si>
  <si>
    <t>二、上级财力性补助收入</t>
  </si>
  <si>
    <t>③教师</t>
  </si>
  <si>
    <t>三、上级转移支付补助收入</t>
  </si>
  <si>
    <t>2.医疗保险、住房公积金、社保、社保年金、交通补助、乡镇工作补等其他工资性支出</t>
  </si>
  <si>
    <t>（一）一般性转移支付补助</t>
  </si>
  <si>
    <t>3.其他人员支出</t>
  </si>
  <si>
    <t>（二）专项转移支付补助</t>
  </si>
  <si>
    <t>4.公用支出</t>
  </si>
  <si>
    <t>（三）部分因本级预算已按政策足额安排而列为财力的上级转移支付补助</t>
  </si>
  <si>
    <t>（二）项目支出</t>
  </si>
  <si>
    <t>（四）结余资金收回</t>
  </si>
  <si>
    <t>1.常规预算</t>
  </si>
  <si>
    <t>四、地方政府置换债券转贷收入</t>
  </si>
  <si>
    <t>2.综合预算</t>
  </si>
  <si>
    <t>五、地方政府新增债券转贷收入</t>
  </si>
  <si>
    <r>
      <rPr>
        <sz val="12"/>
        <rFont val="宋体"/>
        <charset val="134"/>
      </rPr>
      <t>3</t>
    </r>
    <r>
      <rPr>
        <sz val="12"/>
        <rFont val="宋体"/>
        <charset val="134"/>
      </rPr>
      <t>.上年遗留项目</t>
    </r>
  </si>
  <si>
    <t>六、亚行贷款项目债务转贷收入</t>
  </si>
  <si>
    <t>二、上级转移性支付补助支出</t>
  </si>
  <si>
    <t>七、上年结转收入</t>
  </si>
  <si>
    <t>（一）上级一般性转移支付补助支出</t>
  </si>
  <si>
    <t>（一）线上结转</t>
  </si>
  <si>
    <t>（二）上级专项转移支付补助支出</t>
  </si>
  <si>
    <t>（二）收回存量资金</t>
  </si>
  <si>
    <t>三、上年结转支出</t>
  </si>
  <si>
    <t>（三）清算退回历年结转上级资金</t>
  </si>
  <si>
    <t>四、地方政府置换债券还本支出（线下支出）</t>
  </si>
  <si>
    <t>八、动用预算稳定调节基金</t>
  </si>
  <si>
    <t>五、地方政府新增债券安排的支出</t>
  </si>
  <si>
    <t>九、调入资金（收缴成田镇等12个卫生院历年财政垫付退休待遇补助）</t>
  </si>
  <si>
    <t>六、亚行贷款还本支出（线下支出）</t>
  </si>
  <si>
    <t>六、体制和专项上解</t>
  </si>
  <si>
    <t>七、结转下年支出</t>
  </si>
  <si>
    <t>（一）当年上级一般性转移支付补助支出</t>
  </si>
  <si>
    <t>（二）当年上级专项转移支付补助支出</t>
  </si>
  <si>
    <t>（三）上年结转支出</t>
  </si>
  <si>
    <t>一般公共预算支出</t>
  </si>
  <si>
    <t>本级一般公共预算可支配财力</t>
  </si>
  <si>
    <t>本级一般公共预算支出负担</t>
  </si>
  <si>
    <t>全口径一般公共预算财力</t>
  </si>
  <si>
    <t>全口径一般公共预算支出负担</t>
  </si>
  <si>
    <t>收支缺口挂账（待调入资金）</t>
  </si>
  <si>
    <t>财力缺口</t>
  </si>
  <si>
    <t>从政府性基金预算调入一般公共预算（调入资金）</t>
  </si>
  <si>
    <t>结余补充预算稳定调节基金
（调出资金）</t>
  </si>
  <si>
    <t>附表2：</t>
  </si>
  <si>
    <t>潮南区2019年政府性基金预算收支总表</t>
  </si>
  <si>
    <t>一、本级政府性基金预算收入</t>
  </si>
  <si>
    <t>一、本级政府性基金预算支出</t>
  </si>
  <si>
    <t>（一）国有土地使用权出让收入</t>
  </si>
  <si>
    <t>（一）国有土地使用权出让收入安排的支出（包括债券发行费及利息）</t>
  </si>
  <si>
    <t>（二）城市基础设施配套费收入</t>
  </si>
  <si>
    <t>（二）城市基础设施配套费收入安排的支出</t>
  </si>
  <si>
    <t>（三）彩票公益金收入（按规定需专款专用）</t>
  </si>
  <si>
    <t>（三）彩票公益金收入安排的支出</t>
  </si>
  <si>
    <t>（四）农业土地开发资金收入（按规定需专款专用）</t>
  </si>
  <si>
    <t>（四）农业土地开发资金收入安排的支出</t>
  </si>
  <si>
    <t>（五）污水处理费收入</t>
  </si>
  <si>
    <t>二、上级专项转移支付补助支出</t>
  </si>
  <si>
    <t>（六）其他政府性基金预算收入</t>
  </si>
  <si>
    <t>三、地方政府新增债券支出</t>
  </si>
  <si>
    <t>二、上级专项转移支付补助收入</t>
  </si>
  <si>
    <t>四、上年结转支出</t>
  </si>
  <si>
    <t>三、地方政府新增债券转贷收入</t>
  </si>
  <si>
    <t>五、结转下年支出</t>
  </si>
  <si>
    <t>四、上年结转收入</t>
  </si>
  <si>
    <t>（一）当年上级专项转移支付补助支出</t>
  </si>
  <si>
    <t>（二）上年结转支出</t>
  </si>
  <si>
    <t>政府性基金预算支出</t>
  </si>
  <si>
    <t>本级政府性基金预算可支配财力</t>
  </si>
  <si>
    <t>本级政府性基金预算支出负担</t>
  </si>
  <si>
    <t>全口径政府性基金预算财力</t>
  </si>
  <si>
    <t>全口径政府性基金预算支出负担</t>
  </si>
  <si>
    <t>财力盈余</t>
  </si>
  <si>
    <t>政府性基金预算调出资金</t>
  </si>
  <si>
    <t>附表3：</t>
  </si>
  <si>
    <t>潮南区2019年本级财政收入预算执行情况表</t>
  </si>
  <si>
    <t>收入项目</t>
  </si>
  <si>
    <t>年初预算</t>
  </si>
  <si>
    <t>第一次调
整预算</t>
  </si>
  <si>
    <t>第二次调
整预算</t>
  </si>
  <si>
    <t>全年执行数</t>
  </si>
  <si>
    <t>预算            执行率</t>
  </si>
  <si>
    <t>上年完成</t>
  </si>
  <si>
    <t>增长率</t>
  </si>
  <si>
    <t>本级财政收入合计</t>
  </si>
  <si>
    <t>一、一般公共预算收入</t>
  </si>
  <si>
    <t>1、税务部门</t>
  </si>
  <si>
    <t>3、财政部门</t>
  </si>
  <si>
    <t>非税占比</t>
  </si>
  <si>
    <t>二、政府性基金预算收入</t>
  </si>
  <si>
    <t>（三）污水处理费收入</t>
  </si>
  <si>
    <t>（四）彩票公益金收入（按规定需专款专用）</t>
  </si>
  <si>
    <t>（五）农业土地开发资金收入（按规定需专款专用）</t>
  </si>
  <si>
    <t>（六）其他政府性基金收入</t>
  </si>
  <si>
    <t>附表4：</t>
  </si>
  <si>
    <t>潮南区2019年全口径一般公共预算支出分类表</t>
  </si>
  <si>
    <r>
      <rPr>
        <sz val="12"/>
        <rFont val="Times New Roman"/>
        <charset val="134"/>
      </rPr>
      <t xml:space="preserve">                                                                                                                                                             </t>
    </r>
    <r>
      <rPr>
        <sz val="11"/>
        <color theme="1"/>
        <rFont val="宋体"/>
        <charset val="134"/>
      </rPr>
      <t>单位：万元</t>
    </r>
  </si>
  <si>
    <t>支出类别</t>
  </si>
  <si>
    <t>本级一般公共预算支出</t>
  </si>
  <si>
    <t>上年结转支出</t>
  </si>
  <si>
    <t>上级一般性转移支付补助支出</t>
  </si>
  <si>
    <t>上级专项转移支付补助支出</t>
  </si>
  <si>
    <t>全口径一般公共预算支出                   合计</t>
  </si>
  <si>
    <t>各类支出比重</t>
  </si>
  <si>
    <t>2017年全口径一般公共预算支出                   合计</t>
  </si>
  <si>
    <t>2018年全口径一般公共预算支出                   合计</t>
  </si>
  <si>
    <t>年初
预算</t>
  </si>
  <si>
    <t>第一次调整预算</t>
  </si>
  <si>
    <t>第二次调整预算</t>
  </si>
  <si>
    <t>执行数</t>
  </si>
  <si>
    <t>预算           执行率</t>
  </si>
  <si>
    <t>1.一般公共服务支出</t>
  </si>
  <si>
    <t>2.国防支出</t>
  </si>
  <si>
    <t>3.公共安全支出</t>
  </si>
  <si>
    <t>4.教育支出</t>
  </si>
  <si>
    <t>5.科学技术支出</t>
  </si>
  <si>
    <t>6.文化旅游体育与传媒支出</t>
  </si>
  <si>
    <t>7.社会保障和就业支出</t>
  </si>
  <si>
    <t>8.卫生健康支出</t>
  </si>
  <si>
    <t>9.节能环保支出</t>
  </si>
  <si>
    <t>10.城乡社区支出</t>
  </si>
  <si>
    <t>11.农林水支出</t>
  </si>
  <si>
    <t>12.交通运输支出</t>
  </si>
  <si>
    <t>13.资源勘探信息等支出</t>
  </si>
  <si>
    <t>14.商业服务业等支出</t>
  </si>
  <si>
    <t>15.金融支出</t>
  </si>
  <si>
    <t>16.自然资源海洋气象等支出</t>
  </si>
  <si>
    <t>17.住房保障支出</t>
  </si>
  <si>
    <t>18.粮油物资储备支出</t>
  </si>
  <si>
    <t>19.灾害防治及应急管理支出</t>
  </si>
  <si>
    <t>20.其他支出(类)</t>
  </si>
  <si>
    <t>21.债务付息支出</t>
  </si>
  <si>
    <t>22.债务发行费用支出</t>
  </si>
  <si>
    <t>全口径民生占比</t>
  </si>
  <si>
    <t>本级民生占比</t>
  </si>
  <si>
    <t>全口径民生</t>
  </si>
  <si>
    <t>本级民生</t>
  </si>
  <si>
    <t>全口径八项支出</t>
  </si>
  <si>
    <t>附表5：</t>
  </si>
  <si>
    <t>潮南区2019年财政支出项目明细表</t>
  </si>
  <si>
    <t>项 目</t>
  </si>
  <si>
    <t>2019年支出</t>
  </si>
  <si>
    <t>2018年支出</t>
  </si>
  <si>
    <t>增减情况</t>
  </si>
  <si>
    <t>增减额</t>
  </si>
  <si>
    <t>增减率</t>
  </si>
  <si>
    <r>
      <rPr>
        <sz val="11"/>
        <rFont val="Tahoma"/>
        <charset val="134"/>
      </rPr>
      <t>2019</t>
    </r>
    <r>
      <rPr>
        <sz val="11"/>
        <rFont val="宋体"/>
        <charset val="134"/>
      </rPr>
      <t>年实际执行</t>
    </r>
  </si>
  <si>
    <t>一、本级支出</t>
  </si>
  <si>
    <t>2019年实际执行</t>
  </si>
  <si>
    <t>区直单位</t>
  </si>
  <si>
    <t>镇级</t>
  </si>
  <si>
    <t>教师</t>
  </si>
  <si>
    <t xml:space="preserve">  1、人员支出</t>
  </si>
  <si>
    <t xml:space="preserve">    在职人员工资</t>
  </si>
  <si>
    <t xml:space="preserve">    离退休费</t>
  </si>
  <si>
    <t xml:space="preserve">    绩效考核奖金</t>
  </si>
  <si>
    <t xml:space="preserve">    年度岗位考核奖及优秀奖/绩效考核奖金</t>
  </si>
  <si>
    <t xml:space="preserve">    医疗保险财政补助</t>
  </si>
  <si>
    <t xml:space="preserve">    机关、参公人员公务交通补助</t>
  </si>
  <si>
    <t xml:space="preserve">    住房公积金</t>
  </si>
  <si>
    <t xml:space="preserve">    乡镇工作人员补贴</t>
  </si>
  <si>
    <t xml:space="preserve">    社会保险财政补助</t>
  </si>
  <si>
    <t xml:space="preserve">    公务交通补助</t>
  </si>
  <si>
    <t xml:space="preserve">    聘用人员工资及补助</t>
  </si>
  <si>
    <t xml:space="preserve">    社保年金财政补助</t>
  </si>
  <si>
    <t xml:space="preserve">    生育险</t>
  </si>
  <si>
    <t xml:space="preserve">    工伤险</t>
  </si>
  <si>
    <t xml:space="preserve">    其他基本支出</t>
  </si>
  <si>
    <t xml:space="preserve">    其他人员经费</t>
  </si>
  <si>
    <t xml:space="preserve">  2、公用支出</t>
  </si>
  <si>
    <t xml:space="preserve">    人员定额公用经费</t>
  </si>
  <si>
    <t xml:space="preserve">    其他公用支出</t>
  </si>
  <si>
    <t xml:space="preserve">  1、经常性项目</t>
  </si>
  <si>
    <t xml:space="preserve">  2、一次性项目</t>
  </si>
  <si>
    <t>二、上年结转支出</t>
  </si>
  <si>
    <t>三、上级一般性转移支付补助支出</t>
  </si>
  <si>
    <t>四、上级专项转移支付补助支出</t>
  </si>
  <si>
    <t>三、上级转移支付补助支出</t>
  </si>
  <si>
    <t>附表6：</t>
  </si>
  <si>
    <t>潮南区2019年地方政府性债务情况明细表</t>
  </si>
  <si>
    <t>区划名称</t>
  </si>
  <si>
    <t>单位名称</t>
  </si>
  <si>
    <t>债务编码</t>
  </si>
  <si>
    <t>债务名称</t>
  </si>
  <si>
    <t>债务类型</t>
  </si>
  <si>
    <t>项目名称</t>
  </si>
  <si>
    <t>计划偿债
资金来源</t>
  </si>
  <si>
    <t>期初数</t>
  </si>
  <si>
    <t>当期举借</t>
  </si>
  <si>
    <t>当期偿还本金</t>
  </si>
  <si>
    <t>当期支付
利息及费用</t>
  </si>
  <si>
    <t>期末数</t>
  </si>
  <si>
    <t>协议号</t>
  </si>
  <si>
    <t>签订日期</t>
  </si>
  <si>
    <t>债权类型</t>
  </si>
  <si>
    <t>债权人</t>
  </si>
  <si>
    <t>债权人全称</t>
  </si>
  <si>
    <t>协议金额</t>
  </si>
  <si>
    <t>组织机构编码</t>
  </si>
  <si>
    <t>潮南区本级</t>
  </si>
  <si>
    <t>潮南区疾病预防控制中心</t>
  </si>
  <si>
    <t>潮南区疾病预防控制中心基建工程征地款</t>
  </si>
  <si>
    <t>一般债务</t>
  </si>
  <si>
    <t>潮南区疾病预防控制中心工程</t>
  </si>
  <si>
    <t>一般公共预算收入</t>
  </si>
  <si>
    <t>潮南水资源保护及利用示范项目办公室</t>
  </si>
  <si>
    <t>潮南水资源保护及利用示范项目</t>
  </si>
  <si>
    <t>区级合计</t>
  </si>
  <si>
    <t>陈店镇</t>
  </si>
  <si>
    <t>潮南区陈店镇财政办公室</t>
  </si>
  <si>
    <t>北新工业片区园区设施工程</t>
  </si>
  <si>
    <t>北新工业片区园区设施</t>
  </si>
  <si>
    <t>无</t>
  </si>
  <si>
    <t>2006-04-13</t>
  </si>
  <si>
    <t>应付工程款</t>
  </si>
  <si>
    <t>个人</t>
  </si>
  <si>
    <t>广东胜意建筑有限公司</t>
  </si>
  <si>
    <t>K30351069</t>
  </si>
  <si>
    <t>汕头市潮阳建筑工程总公司第一分公司</t>
  </si>
  <si>
    <t>西环路路基工程</t>
  </si>
  <si>
    <t>2004-03-13</t>
  </si>
  <si>
    <t>汕头市潮阳第一建安总公司潮阳分公司</t>
  </si>
  <si>
    <t>西环路路面工程</t>
  </si>
  <si>
    <t>汕头市潮阳第二建筑总公司潮阳分公司</t>
  </si>
  <si>
    <t>峡山建筑工程公司</t>
  </si>
  <si>
    <t>北新工业园区园内设施</t>
  </si>
  <si>
    <t>2006-02-16</t>
  </si>
  <si>
    <t>潮阳第四建筑总公司</t>
  </si>
  <si>
    <t>成田镇</t>
  </si>
  <si>
    <t>潮南区成田镇财政办公室</t>
  </si>
  <si>
    <t>镇水改工程（铺设管道）</t>
  </si>
  <si>
    <t>专项债务</t>
  </si>
  <si>
    <t>镇水改工程</t>
  </si>
  <si>
    <t>其他政府性基金收入</t>
  </si>
  <si>
    <t>2007-06-15</t>
  </si>
  <si>
    <t>陈沙路路基工程</t>
  </si>
  <si>
    <t>陈沙公路路基工程</t>
  </si>
  <si>
    <t>2001-01-30</t>
  </si>
  <si>
    <t>潮阳市成田建筑公司李继和施工队</t>
  </si>
  <si>
    <t>73217803-1</t>
  </si>
  <si>
    <t>红场镇</t>
  </si>
  <si>
    <t>潮南区红场镇财政办公室</t>
  </si>
  <si>
    <t>种植白叶单丛茶</t>
  </si>
  <si>
    <t>2001-06-28</t>
  </si>
  <si>
    <t>潮阳市第五建筑总公司李继和施工队</t>
  </si>
  <si>
    <t>拖欠黄锡辉红场镇政府综合楼工程款</t>
  </si>
  <si>
    <t>00001</t>
  </si>
  <si>
    <t>1993-03-31</t>
  </si>
  <si>
    <t>其他</t>
  </si>
  <si>
    <t>其他单位</t>
  </si>
  <si>
    <t>秋风岭水厂</t>
  </si>
  <si>
    <t>拖欠郑永彬水潘路一期工程款</t>
  </si>
  <si>
    <t>拖欠郑永彬等水潘路一期工程款</t>
  </si>
  <si>
    <t>1995-12-30</t>
  </si>
  <si>
    <t>郑创雄施工队</t>
  </si>
  <si>
    <t>拖欠吴淑龙水潘路二期工程款</t>
  </si>
  <si>
    <t>1996-12-16</t>
  </si>
  <si>
    <t>高贻森施工队</t>
  </si>
  <si>
    <t>拖欠吴淑龙、黄锡辉村村通公路工程款</t>
  </si>
  <si>
    <t>拖欠吴淑龙村村通公路工程款</t>
  </si>
  <si>
    <t>002</t>
  </si>
  <si>
    <t>1992-05-08</t>
  </si>
  <si>
    <t>流动资金贷款</t>
  </si>
  <si>
    <t>中国农业银行</t>
  </si>
  <si>
    <t>中国农业银行汕头两英支行</t>
  </si>
  <si>
    <t>712227967</t>
  </si>
  <si>
    <t>拖欠吴淑龙红四公路改造工程款</t>
  </si>
  <si>
    <t>拖欠001</t>
  </si>
  <si>
    <t>1996-05-13</t>
  </si>
  <si>
    <t>黄锡辉施工队</t>
  </si>
  <si>
    <t>拖欠周强发、许业丰司神公路押金</t>
  </si>
  <si>
    <t>拖欠许业丰、周强发司神公路押金款</t>
  </si>
  <si>
    <t>拖欠007</t>
  </si>
  <si>
    <t>1996-03-05</t>
  </si>
  <si>
    <t>郑永彬等施工队</t>
  </si>
  <si>
    <t>系统剔除</t>
  </si>
  <si>
    <t>拖欠吴淑龙潘岱段路基改造工程款</t>
  </si>
  <si>
    <t>潘岱段路基改造工程</t>
  </si>
  <si>
    <t>拖欠008</t>
  </si>
  <si>
    <t>1998-01-05</t>
  </si>
  <si>
    <t>红场第三建筑工程队</t>
  </si>
  <si>
    <t>拖欠李松南敬老院附属工程款</t>
  </si>
  <si>
    <t>拖欠009</t>
  </si>
  <si>
    <t>2000-08-05</t>
  </si>
  <si>
    <t>吴淑龙、黄锡辉</t>
  </si>
  <si>
    <t>井都镇</t>
  </si>
  <si>
    <t>潮南区井都镇财政办公室</t>
  </si>
  <si>
    <t>井都水厂土建工程款</t>
  </si>
  <si>
    <t>井都水厂建设</t>
  </si>
  <si>
    <t>拖欠010</t>
  </si>
  <si>
    <t>1999-06-05</t>
  </si>
  <si>
    <t>吴淑龙</t>
  </si>
  <si>
    <t>井都水厂管道工程款</t>
  </si>
  <si>
    <t>拖欠011</t>
  </si>
  <si>
    <t>2002-10-05</t>
  </si>
  <si>
    <t>周强发、许业丰</t>
  </si>
  <si>
    <t>井都水厂源水开口补偿款</t>
  </si>
  <si>
    <t>拖欠012</t>
  </si>
  <si>
    <t>1998-08-05</t>
  </si>
  <si>
    <t>井田公路拓宽工程款</t>
  </si>
  <si>
    <t>井田公路拓宽工程</t>
  </si>
  <si>
    <t>拖欠013</t>
  </si>
  <si>
    <t>2000-12-05</t>
  </si>
  <si>
    <t>李松南</t>
  </si>
  <si>
    <t>井都水厂监理费</t>
  </si>
  <si>
    <t>001</t>
  </si>
  <si>
    <t>2002-03-19</t>
  </si>
  <si>
    <t>潮阳市第二建筑公司</t>
  </si>
  <si>
    <t>007023643</t>
  </si>
  <si>
    <t>雷岭镇</t>
  </si>
  <si>
    <t>潮南区雷岭镇财政办公室</t>
  </si>
  <si>
    <t>程控电话工程贷款</t>
  </si>
  <si>
    <t>潮阳三凌公司</t>
  </si>
  <si>
    <t>福利包袋厂贷款</t>
  </si>
  <si>
    <t>003</t>
  </si>
  <si>
    <t>原潮供水公司</t>
  </si>
  <si>
    <t>麻赤路改造工程</t>
  </si>
  <si>
    <t>006</t>
  </si>
  <si>
    <t>1999-11-05</t>
  </si>
  <si>
    <t>潮阳建筑工程总公司</t>
  </si>
  <si>
    <t>两英镇</t>
  </si>
  <si>
    <t>潮南区两英镇财政办公室</t>
  </si>
  <si>
    <t>环市路工程</t>
  </si>
  <si>
    <t>004</t>
  </si>
  <si>
    <t>潮阳建设监理公司</t>
  </si>
  <si>
    <t>干部职工宿舍工程</t>
  </si>
  <si>
    <t>1992-08-12</t>
  </si>
  <si>
    <t>农行雷岭营业所</t>
  </si>
  <si>
    <t>007023520</t>
  </si>
  <si>
    <t>陈沙公路路基前期工程</t>
  </si>
  <si>
    <t>陈沙公路前期路基工程</t>
  </si>
  <si>
    <t>国有土地使用权出让金收入</t>
  </si>
  <si>
    <t>1993-10-08</t>
  </si>
  <si>
    <t>陇田镇</t>
  </si>
  <si>
    <t>潮南区陇田镇财政办公室</t>
  </si>
  <si>
    <t>道路建设</t>
  </si>
  <si>
    <t>2002-01-18</t>
  </si>
  <si>
    <t>陈福顺等</t>
  </si>
  <si>
    <t>潮南区陈沙公路前期路基工程</t>
  </si>
  <si>
    <t>1995-02-01</t>
  </si>
  <si>
    <t>环市路工程施工队</t>
  </si>
  <si>
    <t>K3035132-5</t>
  </si>
  <si>
    <t>镇址工程</t>
  </si>
  <si>
    <t>1996-02-01</t>
  </si>
  <si>
    <t>杨基波施工队</t>
  </si>
  <si>
    <t>和葵公路田心路段第二路段路基工程</t>
  </si>
  <si>
    <t>和葵公路田心路段工程</t>
  </si>
  <si>
    <t>陈沙公路工程施工队</t>
  </si>
  <si>
    <t>井田路</t>
  </si>
  <si>
    <t>2015-01-01</t>
  </si>
  <si>
    <t>和葵公路田心路段第六路段路基工程</t>
  </si>
  <si>
    <t>1994-03-10</t>
  </si>
  <si>
    <t>李增泉工程队</t>
  </si>
  <si>
    <t>007023301</t>
  </si>
  <si>
    <t>和葵公路田心路段第五路段路基工程</t>
  </si>
  <si>
    <t>2006-01-01</t>
  </si>
  <si>
    <t>黄辉武</t>
  </si>
  <si>
    <t>和葵公路田心路段第七路段路基工程</t>
  </si>
  <si>
    <t>1994-12-05</t>
  </si>
  <si>
    <t>王镇顺工程队</t>
  </si>
  <si>
    <t>和葵公路田心路段零星工程</t>
  </si>
  <si>
    <t>1996-01-01</t>
  </si>
  <si>
    <t>陈克南</t>
  </si>
  <si>
    <t>和葵公路田心路段路肩填土工程</t>
  </si>
  <si>
    <t>1993-07-07</t>
  </si>
  <si>
    <t>陈楚麟工程队</t>
  </si>
  <si>
    <t>陈江泉</t>
  </si>
  <si>
    <t>市溪工程</t>
  </si>
  <si>
    <t>李钟泉、许定和</t>
  </si>
  <si>
    <t>潮阳市田心镇水柳水库除险加固工程</t>
  </si>
  <si>
    <t>潮阳市田心镇水柳水库除险加固工程（大坝工程）</t>
  </si>
  <si>
    <t>谢崇光、郑绍杨</t>
  </si>
  <si>
    <t>田心自来水厂工程</t>
  </si>
  <si>
    <t>谢庆新</t>
  </si>
  <si>
    <t>胪岗镇</t>
  </si>
  <si>
    <t>潮南区胪岗镇财政办公室</t>
  </si>
  <si>
    <t>陈汉龙</t>
  </si>
  <si>
    <t>水改工程</t>
  </si>
  <si>
    <t>陈良钦</t>
  </si>
  <si>
    <t>司马浦镇</t>
  </si>
  <si>
    <t>潮南区司马浦镇财政办公室</t>
  </si>
  <si>
    <t>司马浦镇三联路工程</t>
  </si>
  <si>
    <t>2003-01-01</t>
  </si>
  <si>
    <t>潮阳市沙陇建筑工程公司</t>
  </si>
  <si>
    <t>峡山</t>
  </si>
  <si>
    <t>潮南区峡山街道财政办公室</t>
  </si>
  <si>
    <t>国道324改线工程潮南段（一期）第二标段工程项目BT融资</t>
  </si>
  <si>
    <t>国道324改线工程潮南段（一期）</t>
  </si>
  <si>
    <t>2002-01-01</t>
  </si>
  <si>
    <t>潮阳市水电建安总公司</t>
  </si>
  <si>
    <t>仙城镇</t>
  </si>
  <si>
    <t>潮南区仙城镇财政办公室</t>
  </si>
  <si>
    <t>陈沙公路仙城西段</t>
  </si>
  <si>
    <t>陈沙公路仙城西段工程</t>
  </si>
  <si>
    <t>原潮阳市第二建筑总公司</t>
  </si>
  <si>
    <t>陈沙公路仙城东段</t>
  </si>
  <si>
    <t>陈沙公路仙城东段工程</t>
  </si>
  <si>
    <t>0501</t>
  </si>
  <si>
    <t>1996-01-09</t>
  </si>
  <si>
    <t>郑楚南、吴创沐、张镇荣</t>
  </si>
  <si>
    <t>007023264</t>
  </si>
  <si>
    <t>镇级合计</t>
  </si>
  <si>
    <t>``</t>
  </si>
  <si>
    <t>潮南区</t>
  </si>
  <si>
    <t>地方政府新增（置换）一般债券</t>
  </si>
  <si>
    <t>其中一般利息275.9862万元,在19年做过支付申请,但在2020年才支付的
其中本金2497万在19年,但在2020年才支付</t>
  </si>
  <si>
    <t>地方政府新增（置换）专项债券</t>
  </si>
  <si>
    <t>政府性基金收入</t>
  </si>
  <si>
    <t>其中专项利息1884.46万元,为19年应付未付,但在2020年才支付的</t>
  </si>
  <si>
    <t>债券合计</t>
  </si>
  <si>
    <t>总计</t>
  </si>
  <si>
    <t>附表7：</t>
  </si>
  <si>
    <t>潮南区2019年地方政府新增债券使用情况表</t>
  </si>
  <si>
    <t>债券类型</t>
  </si>
  <si>
    <t>实际执行
金额</t>
  </si>
  <si>
    <t>备注</t>
  </si>
  <si>
    <t>汕头市潮南区特殊教育学校</t>
  </si>
  <si>
    <t>区特殊教育学校建设项目</t>
  </si>
  <si>
    <t>一般债券</t>
  </si>
  <si>
    <t>汕头市潮南区砺青中学</t>
  </si>
  <si>
    <t>砺青中学新校区建设项目</t>
  </si>
  <si>
    <t>汕头市潮南区卫生健康局</t>
  </si>
  <si>
    <t>陈店镇、仙城镇卫生院业务综合楼工程</t>
  </si>
  <si>
    <t>汕头市潮南区农业农村局</t>
  </si>
  <si>
    <t>乡村振兴战略项目“百村示范、千村整治”美丽乡村建设项目</t>
  </si>
  <si>
    <t>汕头市潮南区水务局</t>
  </si>
  <si>
    <t>司马浦涝区、十八湾涝区南凤泵站工程</t>
  </si>
  <si>
    <t>专项债券</t>
  </si>
  <si>
    <t>西埔水闸重建工程</t>
  </si>
  <si>
    <t>陈店截流、龟头海支流、龟头海支流北港、峡山大溪、金溪水、利陂水、秋风水、新坛港、中港河（含两英大溪）一河一策项目</t>
  </si>
  <si>
    <t>21个灾毁电排站修复工程</t>
  </si>
  <si>
    <t>练江水系清淤美化工程、达标加固扩宽工程</t>
  </si>
  <si>
    <t>汕头市潮南区峡山街道办事处</t>
  </si>
  <si>
    <t>峡山大溪流域截污清淤及景观提升项目EPC总承包</t>
  </si>
  <si>
    <t>峡山塔山公园、峡山影剧院升级改造工程</t>
  </si>
  <si>
    <t>324国道、县道X042两铜线、乡道Y215东峡线改造工程</t>
  </si>
  <si>
    <t>汕头市潮南区两英镇人民政府</t>
  </si>
  <si>
    <t>两英大溪综合整治工程</t>
  </si>
  <si>
    <t>汕头市潮南区陇田镇人民政府</t>
  </si>
  <si>
    <t>陇田镇乡道Y370东井线芝兰至东华路段及支线路面改造工程</t>
  </si>
  <si>
    <t>汕头市潮南区陈店镇人民政府
汕头市潮南区司马浦镇人民政府
汕头市潮南区峡山街道办事处</t>
  </si>
  <si>
    <t>振兴南路、振兴北路改建工程</t>
  </si>
  <si>
    <t>汕头市潮南区交通建设投资发展有限公司</t>
  </si>
  <si>
    <t>峡安、峡溪、沿江路建设工程</t>
  </si>
  <si>
    <t>汕头市潮南区地方公路管理总站</t>
  </si>
  <si>
    <t>X061水红线苏林至纪念碑路段路面改造工程</t>
  </si>
  <si>
    <t>峡新公路非机动车道改建工程、峡新公路新建工程</t>
  </si>
</sst>
</file>

<file path=xl/styles.xml><?xml version="1.0" encoding="utf-8"?>
<styleSheet xmlns="http://schemas.openxmlformats.org/spreadsheetml/2006/main">
  <numFmts count="15">
    <numFmt numFmtId="42" formatCode="_ &quot;￥&quot;* #,##0_ ;_ &quot;￥&quot;* \-#,##0_ ;_ &quot;￥&quot;* &quot;-&quot;_ ;_ @_ "/>
    <numFmt numFmtId="176" formatCode="0_ "/>
    <numFmt numFmtId="44" formatCode="_ &quot;￥&quot;* #,##0.00_ ;_ &quot;￥&quot;* \-#,##0.00_ ;_ &quot;￥&quot;* &quot;-&quot;??_ ;_ @_ "/>
    <numFmt numFmtId="177" formatCode="0.00_ ;[Red]\-0.00\ "/>
    <numFmt numFmtId="41" formatCode="_ * #,##0_ ;_ * \-#,##0_ ;_ * &quot;-&quot;_ ;_ @_ "/>
    <numFmt numFmtId="178" formatCode="#,##0.00_ "/>
    <numFmt numFmtId="43" formatCode="_ * #,##0.00_ ;_ * \-#,##0.00_ ;_ * &quot;-&quot;??_ ;_ @_ "/>
    <numFmt numFmtId="179" formatCode="#,##0.00_ ;\-#,##0.00;;"/>
    <numFmt numFmtId="180" formatCode="yyyy/mm/dd"/>
    <numFmt numFmtId="181" formatCode="#,##0.00_ ;\-#,##0.00"/>
    <numFmt numFmtId="182" formatCode="#,##0.000000000_ "/>
    <numFmt numFmtId="183" formatCode="#,##0_);[Red]\(#,##0\)"/>
    <numFmt numFmtId="184" formatCode="0_ ;[Red]\-0\ "/>
    <numFmt numFmtId="185" formatCode="0.00_ "/>
    <numFmt numFmtId="186" formatCode="#,##0.00;[Red]#,##0.00"/>
  </numFmts>
  <fonts count="77">
    <font>
      <sz val="11"/>
      <color theme="1"/>
      <name val="Tahoma"/>
      <charset val="134"/>
    </font>
    <font>
      <b/>
      <sz val="24"/>
      <name val="宋体"/>
      <charset val="134"/>
    </font>
    <font>
      <sz val="12"/>
      <name val="宋体"/>
      <charset val="134"/>
      <scheme val="minor"/>
    </font>
    <font>
      <b/>
      <sz val="12"/>
      <name val="宋体"/>
      <charset val="134"/>
      <scheme val="minor"/>
    </font>
    <font>
      <sz val="10"/>
      <name val="宋体"/>
      <charset val="134"/>
    </font>
    <font>
      <sz val="10"/>
      <name val="Arial"/>
      <charset val="134"/>
    </font>
    <font>
      <sz val="11"/>
      <color theme="1"/>
      <name val="黑体"/>
      <charset val="134"/>
    </font>
    <font>
      <sz val="11"/>
      <color theme="1"/>
      <name val="宋体"/>
      <charset val="134"/>
      <scheme val="minor"/>
    </font>
    <font>
      <b/>
      <sz val="20"/>
      <color indexed="8"/>
      <name val="宋体"/>
      <charset val="134"/>
    </font>
    <font>
      <b/>
      <sz val="11"/>
      <name val="宋体"/>
      <charset val="134"/>
      <scheme val="minor"/>
    </font>
    <font>
      <sz val="11"/>
      <name val="宋体"/>
      <charset val="134"/>
      <scheme val="minor"/>
    </font>
    <font>
      <sz val="11"/>
      <name val="宋体"/>
      <charset val="134"/>
    </font>
    <font>
      <sz val="10"/>
      <name val="黑体"/>
      <charset val="134"/>
    </font>
    <font>
      <b/>
      <sz val="20"/>
      <name val="宋体"/>
      <charset val="134"/>
    </font>
    <font>
      <b/>
      <sz val="10"/>
      <name val="宋体"/>
      <charset val="134"/>
    </font>
    <font>
      <sz val="10"/>
      <color rgb="FFFF0000"/>
      <name val="宋体"/>
      <charset val="134"/>
    </font>
    <font>
      <b/>
      <sz val="10"/>
      <color rgb="FFFF0000"/>
      <name val="宋体"/>
      <charset val="134"/>
    </font>
    <font>
      <sz val="12"/>
      <name val="黑体"/>
      <charset val="134"/>
    </font>
    <font>
      <b/>
      <sz val="22"/>
      <name val="宋体"/>
      <charset val="134"/>
    </font>
    <font>
      <b/>
      <sz val="12"/>
      <name val="宋体"/>
      <charset val="134"/>
    </font>
    <font>
      <b/>
      <sz val="11"/>
      <name val="宋体"/>
      <charset val="134"/>
    </font>
    <font>
      <sz val="11"/>
      <name val="Tahoma"/>
      <charset val="134"/>
    </font>
    <font>
      <sz val="11"/>
      <color rgb="FFFF0000"/>
      <name val="宋体"/>
      <charset val="134"/>
    </font>
    <font>
      <sz val="12"/>
      <name val="宋体"/>
      <charset val="134"/>
    </font>
    <font>
      <b/>
      <sz val="18"/>
      <name val="宋体"/>
      <charset val="134"/>
    </font>
    <font>
      <sz val="12"/>
      <name val="Times New Roman"/>
      <charset val="134"/>
    </font>
    <font>
      <b/>
      <sz val="12"/>
      <name val="楷体_GB2312"/>
      <charset val="134"/>
    </font>
    <font>
      <sz val="12"/>
      <name val="仿宋_GB2312"/>
      <charset val="134"/>
    </font>
    <font>
      <b/>
      <sz val="14"/>
      <name val="宋体"/>
      <charset val="134"/>
    </font>
    <font>
      <sz val="14"/>
      <name val="宋体"/>
      <charset val="134"/>
    </font>
    <font>
      <b/>
      <sz val="11"/>
      <color theme="1"/>
      <name val="宋体"/>
      <charset val="134"/>
      <scheme val="minor"/>
    </font>
    <font>
      <sz val="12"/>
      <color theme="1"/>
      <name val="宋体"/>
      <charset val="134"/>
      <scheme val="minor"/>
    </font>
    <font>
      <sz val="14"/>
      <color theme="1"/>
      <name val="宋体"/>
      <charset val="134"/>
    </font>
    <font>
      <b/>
      <sz val="9"/>
      <name val="宋体"/>
      <charset val="134"/>
    </font>
    <font>
      <sz val="9"/>
      <name val="宋体"/>
      <charset val="134"/>
    </font>
    <font>
      <sz val="11"/>
      <color theme="0"/>
      <name val="宋体"/>
      <charset val="0"/>
      <scheme val="minor"/>
    </font>
    <font>
      <sz val="11"/>
      <color rgb="FF006100"/>
      <name val="宋体"/>
      <charset val="0"/>
      <scheme val="minor"/>
    </font>
    <font>
      <sz val="11"/>
      <color theme="1"/>
      <name val="宋体"/>
      <charset val="134"/>
      <scheme val="minor"/>
    </font>
    <font>
      <b/>
      <sz val="11"/>
      <color rgb="FFFFFFFF"/>
      <name val="宋体"/>
      <charset val="0"/>
      <scheme val="minor"/>
    </font>
    <font>
      <sz val="11"/>
      <color rgb="FF3F3F76"/>
      <name val="宋体"/>
      <charset val="0"/>
      <scheme val="minor"/>
    </font>
    <font>
      <b/>
      <sz val="11"/>
      <color indexed="52"/>
      <name val="宋体"/>
      <charset val="134"/>
    </font>
    <font>
      <sz val="11"/>
      <color indexed="62"/>
      <name val="宋体"/>
      <charset val="134"/>
    </font>
    <font>
      <sz val="11"/>
      <color theme="1"/>
      <name val="宋体"/>
      <charset val="0"/>
      <scheme val="minor"/>
    </font>
    <font>
      <sz val="11"/>
      <color indexed="17"/>
      <name val="宋体"/>
      <charset val="134"/>
    </font>
    <font>
      <b/>
      <sz val="11"/>
      <color indexed="63"/>
      <name val="宋体"/>
      <charset val="134"/>
    </font>
    <font>
      <b/>
      <sz val="11"/>
      <color indexed="8"/>
      <name val="宋体"/>
      <charset val="134"/>
    </font>
    <font>
      <sz val="11"/>
      <color indexed="9"/>
      <name val="宋体"/>
      <charset val="134"/>
    </font>
    <font>
      <b/>
      <sz val="11"/>
      <color indexed="56"/>
      <name val="宋体"/>
      <charset val="134"/>
    </font>
    <font>
      <i/>
      <sz val="11"/>
      <color indexed="23"/>
      <name val="宋体"/>
      <charset val="134"/>
    </font>
    <font>
      <sz val="11"/>
      <color indexed="8"/>
      <name val="宋体"/>
      <charset val="134"/>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sz val="11"/>
      <color indexed="20"/>
      <name val="宋体"/>
      <charset val="134"/>
    </font>
    <font>
      <b/>
      <sz val="11"/>
      <color theme="1"/>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b/>
      <sz val="15"/>
      <color theme="3"/>
      <name val="宋体"/>
      <charset val="134"/>
      <scheme val="minor"/>
    </font>
    <font>
      <sz val="11"/>
      <color rgb="FFFA7D00"/>
      <name val="宋体"/>
      <charset val="0"/>
      <scheme val="minor"/>
    </font>
    <font>
      <sz val="11"/>
      <color indexed="52"/>
      <name val="宋体"/>
      <charset val="134"/>
    </font>
    <font>
      <b/>
      <sz val="11"/>
      <color rgb="FF3F3F3F"/>
      <name val="宋体"/>
      <charset val="0"/>
      <scheme val="minor"/>
    </font>
    <font>
      <b/>
      <sz val="11"/>
      <color rgb="FFFA7D00"/>
      <name val="宋体"/>
      <charset val="0"/>
      <scheme val="minor"/>
    </font>
    <font>
      <sz val="11"/>
      <color rgb="FF9C6500"/>
      <name val="宋体"/>
      <charset val="0"/>
      <scheme val="minor"/>
    </font>
    <font>
      <b/>
      <sz val="15"/>
      <color indexed="56"/>
      <name val="宋体"/>
      <charset val="134"/>
    </font>
    <font>
      <sz val="11"/>
      <color indexed="60"/>
      <name val="宋体"/>
      <charset val="134"/>
    </font>
    <font>
      <b/>
      <sz val="13"/>
      <color indexed="56"/>
      <name val="宋体"/>
      <charset val="134"/>
    </font>
    <font>
      <b/>
      <sz val="11"/>
      <color indexed="9"/>
      <name val="宋体"/>
      <charset val="134"/>
    </font>
    <font>
      <b/>
      <sz val="18"/>
      <color indexed="56"/>
      <name val="宋体"/>
      <charset val="134"/>
    </font>
    <font>
      <sz val="11"/>
      <color indexed="10"/>
      <name val="宋体"/>
      <charset val="134"/>
    </font>
    <font>
      <sz val="11"/>
      <color theme="1"/>
      <name val="宋体"/>
      <charset val="134"/>
    </font>
    <font>
      <b/>
      <sz val="20"/>
      <name val="Times New Roman"/>
      <charset val="134"/>
    </font>
    <font>
      <b/>
      <sz val="9"/>
      <name val="宋体"/>
      <charset val="134"/>
    </font>
    <font>
      <sz val="9"/>
      <name val="Tahoma"/>
      <charset val="134"/>
    </font>
    <font>
      <sz val="9"/>
      <name val="宋体"/>
      <charset val="134"/>
    </font>
  </fonts>
  <fills count="5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indexed="22"/>
        <bgColor indexed="64"/>
      </patternFill>
    </fill>
    <fill>
      <patternFill patternType="solid">
        <fgColor indexed="47"/>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indexed="42"/>
        <bgColor indexed="64"/>
      </patternFill>
    </fill>
    <fill>
      <patternFill patternType="solid">
        <fgColor indexed="49"/>
        <bgColor indexed="64"/>
      </patternFill>
    </fill>
    <fill>
      <patternFill patternType="solid">
        <fgColor theme="9" tint="0.799981688894314"/>
        <bgColor indexed="64"/>
      </patternFill>
    </fill>
    <fill>
      <patternFill patternType="solid">
        <fgColor indexed="31"/>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29"/>
        <bgColor indexed="64"/>
      </patternFill>
    </fill>
    <fill>
      <patternFill patternType="solid">
        <fgColor indexed="45"/>
        <bgColor indexed="64"/>
      </patternFill>
    </fill>
    <fill>
      <patternFill patternType="solid">
        <fgColor indexed="36"/>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indexed="27"/>
        <bgColor indexed="64"/>
      </patternFill>
    </fill>
    <fill>
      <patternFill patternType="solid">
        <fgColor indexed="26"/>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6"/>
        <bgColor indexed="64"/>
      </patternFill>
    </fill>
    <fill>
      <patternFill patternType="solid">
        <fgColor theme="5"/>
        <bgColor indexed="64"/>
      </patternFill>
    </fill>
    <fill>
      <patternFill patternType="solid">
        <fgColor rgb="FFFFEB9C"/>
        <bgColor indexed="64"/>
      </patternFill>
    </fill>
    <fill>
      <patternFill patternType="solid">
        <fgColor indexed="10"/>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43"/>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2"/>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44"/>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
      <patternFill patternType="solid">
        <fgColor indexed="51"/>
        <bgColor indexed="64"/>
      </patternFill>
    </fill>
    <fill>
      <patternFill patternType="solid">
        <fgColor indexed="30"/>
        <bgColor indexed="64"/>
      </patternFill>
    </fill>
    <fill>
      <patternFill patternType="solid">
        <fgColor indexed="6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thick">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s>
  <cellStyleXfs count="315">
    <xf numFmtId="0" fontId="0" fillId="0" borderId="0"/>
    <xf numFmtId="42" fontId="37" fillId="0" borderId="0" applyFont="0" applyFill="0" applyBorder="0" applyAlignment="0" applyProtection="0">
      <alignment vertical="center"/>
    </xf>
    <xf numFmtId="0" fontId="49" fillId="17" borderId="0" applyNumberFormat="0" applyBorder="0" applyAlignment="0" applyProtection="0">
      <alignment vertical="center"/>
    </xf>
    <xf numFmtId="0" fontId="44" fillId="10" borderId="14" applyNumberFormat="0" applyAlignment="0" applyProtection="0">
      <alignment vertical="center"/>
    </xf>
    <xf numFmtId="0" fontId="42" fillId="12" borderId="0" applyNumberFormat="0" applyBorder="0" applyAlignment="0" applyProtection="0">
      <alignment vertical="center"/>
    </xf>
    <xf numFmtId="0" fontId="39" fillId="8" borderId="12" applyNumberFormat="0" applyAlignment="0" applyProtection="0">
      <alignment vertical="center"/>
    </xf>
    <xf numFmtId="0" fontId="7" fillId="0" borderId="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40" fillId="10" borderId="13" applyNumberFormat="0" applyAlignment="0" applyProtection="0">
      <alignment vertical="center"/>
    </xf>
    <xf numFmtId="0" fontId="42" fillId="19" borderId="0" applyNumberFormat="0" applyBorder="0" applyAlignment="0" applyProtection="0">
      <alignment vertical="center"/>
    </xf>
    <xf numFmtId="0" fontId="50" fillId="20" borderId="0" applyNumberFormat="0" applyBorder="0" applyAlignment="0" applyProtection="0">
      <alignment vertical="center"/>
    </xf>
    <xf numFmtId="0" fontId="0" fillId="0" borderId="0"/>
    <xf numFmtId="43" fontId="37" fillId="0" borderId="0" applyFont="0" applyFill="0" applyBorder="0" applyAlignment="0" applyProtection="0">
      <alignment vertical="center"/>
    </xf>
    <xf numFmtId="0" fontId="49" fillId="14" borderId="0" applyNumberFormat="0" applyBorder="0" applyAlignment="0" applyProtection="0">
      <alignment vertical="center"/>
    </xf>
    <xf numFmtId="0" fontId="35" fillId="21" borderId="0" applyNumberFormat="0" applyBorder="0" applyAlignment="0" applyProtection="0">
      <alignment vertical="center"/>
    </xf>
    <xf numFmtId="0" fontId="51" fillId="0" borderId="0" applyNumberFormat="0" applyFill="0" applyBorder="0" applyAlignment="0" applyProtection="0">
      <alignment vertical="center"/>
    </xf>
    <xf numFmtId="9" fontId="37" fillId="0" borderId="0" applyFont="0" applyFill="0" applyBorder="0" applyAlignment="0" applyProtection="0">
      <alignment vertical="center"/>
    </xf>
    <xf numFmtId="0" fontId="44" fillId="10" borderId="14" applyNumberFormat="0" applyAlignment="0" applyProtection="0">
      <alignment vertical="center"/>
    </xf>
    <xf numFmtId="0" fontId="49" fillId="23" borderId="0" applyNumberFormat="0" applyBorder="0" applyAlignment="0" applyProtection="0">
      <alignment vertical="center"/>
    </xf>
    <xf numFmtId="0" fontId="53" fillId="0" borderId="0" applyNumberFormat="0" applyFill="0" applyBorder="0" applyAlignment="0" applyProtection="0">
      <alignment vertical="center"/>
    </xf>
    <xf numFmtId="0" fontId="7" fillId="0" borderId="0">
      <alignment vertical="center"/>
    </xf>
    <xf numFmtId="0" fontId="46" fillId="22" borderId="0" applyNumberFormat="0" applyBorder="0" applyAlignment="0" applyProtection="0">
      <alignment vertical="center"/>
    </xf>
    <xf numFmtId="0" fontId="37" fillId="25" borderId="16" applyNumberFormat="0" applyFont="0" applyAlignment="0" applyProtection="0">
      <alignment vertical="center"/>
    </xf>
    <xf numFmtId="0" fontId="35" fillId="28" borderId="0" applyNumberFormat="0" applyBorder="0" applyAlignment="0" applyProtection="0">
      <alignment vertical="center"/>
    </xf>
    <xf numFmtId="0" fontId="4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 fillId="0" borderId="0">
      <alignment vertical="center"/>
    </xf>
    <xf numFmtId="0" fontId="46" fillId="22" borderId="0" applyNumberFormat="0" applyBorder="0" applyAlignment="0" applyProtection="0">
      <alignment vertical="center"/>
    </xf>
    <xf numFmtId="0" fontId="59"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0" fillId="0" borderId="18" applyNumberFormat="0" applyFill="0" applyAlignment="0" applyProtection="0">
      <alignment vertical="center"/>
    </xf>
    <xf numFmtId="0" fontId="7" fillId="0" borderId="0">
      <alignment vertical="center"/>
    </xf>
    <xf numFmtId="0" fontId="57" fillId="0" borderId="18" applyNumberFormat="0" applyFill="0" applyAlignment="0" applyProtection="0">
      <alignment vertical="center"/>
    </xf>
    <xf numFmtId="0" fontId="35" fillId="13" borderId="0" applyNumberFormat="0" applyBorder="0" applyAlignment="0" applyProtection="0">
      <alignment vertical="center"/>
    </xf>
    <xf numFmtId="0" fontId="58" fillId="0" borderId="20" applyNumberFormat="0" applyFill="0" applyAlignment="0" applyProtection="0">
      <alignment vertical="center"/>
    </xf>
    <xf numFmtId="0" fontId="35" fillId="31" borderId="0" applyNumberFormat="0" applyBorder="0" applyAlignment="0" applyProtection="0">
      <alignment vertical="center"/>
    </xf>
    <xf numFmtId="0" fontId="63" fillId="32" borderId="23" applyNumberFormat="0" applyAlignment="0" applyProtection="0">
      <alignment vertical="center"/>
    </xf>
    <xf numFmtId="0" fontId="64" fillId="32" borderId="12" applyNumberFormat="0" applyAlignment="0" applyProtection="0">
      <alignment vertical="center"/>
    </xf>
    <xf numFmtId="0" fontId="49" fillId="29" borderId="0" applyNumberFormat="0" applyBorder="0" applyAlignment="0" applyProtection="0">
      <alignment vertical="center"/>
    </xf>
    <xf numFmtId="0" fontId="40" fillId="10" borderId="13" applyNumberFormat="0" applyAlignment="0" applyProtection="0">
      <alignment vertical="center"/>
    </xf>
    <xf numFmtId="0" fontId="49" fillId="33" borderId="0" applyNumberFormat="0" applyBorder="0" applyAlignment="0" applyProtection="0">
      <alignment vertical="center"/>
    </xf>
    <xf numFmtId="0" fontId="38" fillId="7" borderId="11" applyNumberFormat="0" applyAlignment="0" applyProtection="0">
      <alignment vertical="center"/>
    </xf>
    <xf numFmtId="0" fontId="0" fillId="0" borderId="0"/>
    <xf numFmtId="0" fontId="42" fillId="16" borderId="0" applyNumberFormat="0" applyBorder="0" applyAlignment="0" applyProtection="0">
      <alignment vertical="center"/>
    </xf>
    <xf numFmtId="0" fontId="7" fillId="0" borderId="0">
      <alignment vertical="center"/>
    </xf>
    <xf numFmtId="0" fontId="35" fillId="34" borderId="0" applyNumberFormat="0" applyBorder="0" applyAlignment="0" applyProtection="0">
      <alignment vertical="center"/>
    </xf>
    <xf numFmtId="0" fontId="34" fillId="30" borderId="21" applyNumberFormat="0" applyFont="0" applyAlignment="0" applyProtection="0">
      <alignment vertical="center"/>
    </xf>
    <xf numFmtId="0" fontId="61" fillId="0" borderId="19" applyNumberFormat="0" applyFill="0" applyAlignment="0" applyProtection="0">
      <alignment vertical="center"/>
    </xf>
    <xf numFmtId="0" fontId="44" fillId="10" borderId="14" applyNumberFormat="0" applyAlignment="0" applyProtection="0">
      <alignment vertical="center"/>
    </xf>
    <xf numFmtId="0" fontId="49" fillId="23" borderId="0" applyNumberFormat="0" applyBorder="0" applyAlignment="0" applyProtection="0">
      <alignment vertical="center"/>
    </xf>
    <xf numFmtId="0" fontId="56" fillId="0" borderId="17" applyNumberFormat="0" applyFill="0" applyAlignment="0" applyProtection="0">
      <alignment vertical="center"/>
    </xf>
    <xf numFmtId="0" fontId="36" fillId="6" borderId="0" applyNumberFormat="0" applyBorder="0" applyAlignment="0" applyProtection="0">
      <alignment vertical="center"/>
    </xf>
    <xf numFmtId="0" fontId="65" fillId="35" borderId="0" applyNumberFormat="0" applyBorder="0" applyAlignment="0" applyProtection="0">
      <alignment vertical="center"/>
    </xf>
    <xf numFmtId="0" fontId="49" fillId="14" borderId="0" applyNumberFormat="0" applyBorder="0" applyAlignment="0" applyProtection="0">
      <alignment vertical="center"/>
    </xf>
    <xf numFmtId="0" fontId="7" fillId="0" borderId="0">
      <alignment vertical="center"/>
    </xf>
    <xf numFmtId="0" fontId="42" fillId="27" borderId="0" applyNumberFormat="0" applyBorder="0" applyAlignment="0" applyProtection="0">
      <alignment vertical="center"/>
    </xf>
    <xf numFmtId="0" fontId="7" fillId="0" borderId="0">
      <alignment vertical="center"/>
    </xf>
    <xf numFmtId="0" fontId="35" fillId="5" borderId="0" applyNumberFormat="0" applyBorder="0" applyAlignment="0" applyProtection="0">
      <alignment vertical="center"/>
    </xf>
    <xf numFmtId="0" fontId="62" fillId="0" borderId="22" applyNumberFormat="0" applyFill="0" applyAlignment="0" applyProtection="0">
      <alignment vertical="center"/>
    </xf>
    <xf numFmtId="0" fontId="42" fillId="26" borderId="0" applyNumberFormat="0" applyBorder="0" applyAlignment="0" applyProtection="0">
      <alignment vertical="center"/>
    </xf>
    <xf numFmtId="0" fontId="42" fillId="18" borderId="0" applyNumberFormat="0" applyBorder="0" applyAlignment="0" applyProtection="0">
      <alignment vertical="center"/>
    </xf>
    <xf numFmtId="0" fontId="44" fillId="10" borderId="14" applyNumberFormat="0" applyAlignment="0" applyProtection="0">
      <alignment vertical="center"/>
    </xf>
    <xf numFmtId="0" fontId="42" fillId="37" borderId="0" applyNumberFormat="0" applyBorder="0" applyAlignment="0" applyProtection="0">
      <alignment vertical="center"/>
    </xf>
    <xf numFmtId="0" fontId="42" fillId="38" borderId="0" applyNumberFormat="0" applyBorder="0" applyAlignment="0" applyProtection="0">
      <alignment vertical="center"/>
    </xf>
    <xf numFmtId="41" fontId="23" fillId="0" borderId="0" applyFont="0" applyFill="0" applyBorder="0" applyAlignment="0" applyProtection="0"/>
    <xf numFmtId="0" fontId="7" fillId="0" borderId="0">
      <alignment vertical="center"/>
    </xf>
    <xf numFmtId="0" fontId="35" fillId="39" borderId="0" applyNumberFormat="0" applyBorder="0" applyAlignment="0" applyProtection="0">
      <alignment vertical="center"/>
    </xf>
    <xf numFmtId="0" fontId="0" fillId="0" borderId="0"/>
    <xf numFmtId="0" fontId="49" fillId="33" borderId="0" applyNumberFormat="0" applyBorder="0" applyAlignment="0" applyProtection="0">
      <alignment vertical="center"/>
    </xf>
    <xf numFmtId="0" fontId="35" fillId="9" borderId="0" applyNumberFormat="0" applyBorder="0" applyAlignment="0" applyProtection="0">
      <alignment vertical="center"/>
    </xf>
    <xf numFmtId="0" fontId="49" fillId="17" borderId="0" applyNumberFormat="0" applyBorder="0" applyAlignment="0" applyProtection="0">
      <alignment vertical="center"/>
    </xf>
    <xf numFmtId="0" fontId="42" fillId="40" borderId="0" applyNumberFormat="0" applyBorder="0" applyAlignment="0" applyProtection="0">
      <alignment vertical="center"/>
    </xf>
    <xf numFmtId="0" fontId="40" fillId="10" borderId="13" applyNumberFormat="0" applyAlignment="0" applyProtection="0">
      <alignment vertical="center"/>
    </xf>
    <xf numFmtId="0" fontId="42" fillId="41" borderId="0" applyNumberFormat="0" applyBorder="0" applyAlignment="0" applyProtection="0">
      <alignment vertical="center"/>
    </xf>
    <xf numFmtId="0" fontId="35" fillId="42" borderId="0" applyNumberFormat="0" applyBorder="0" applyAlignment="0" applyProtection="0">
      <alignment vertical="center"/>
    </xf>
    <xf numFmtId="0" fontId="42" fillId="44" borderId="0" applyNumberFormat="0" applyBorder="0" applyAlignment="0" applyProtection="0">
      <alignment vertical="center"/>
    </xf>
    <xf numFmtId="0" fontId="35" fillId="45" borderId="0" applyNumberFormat="0" applyBorder="0" applyAlignment="0" applyProtection="0">
      <alignment vertical="center"/>
    </xf>
    <xf numFmtId="0" fontId="35" fillId="47" borderId="0" applyNumberFormat="0" applyBorder="0" applyAlignment="0" applyProtection="0">
      <alignment vertical="center"/>
    </xf>
    <xf numFmtId="0" fontId="67" fillId="43" borderId="0" applyNumberFormat="0" applyBorder="0" applyAlignment="0" applyProtection="0">
      <alignment vertical="center"/>
    </xf>
    <xf numFmtId="0" fontId="42" fillId="48" borderId="0" applyNumberFormat="0" applyBorder="0" applyAlignment="0" applyProtection="0">
      <alignment vertical="center"/>
    </xf>
    <xf numFmtId="0" fontId="35" fillId="49" borderId="0" applyNumberFormat="0" applyBorder="0" applyAlignment="0" applyProtection="0">
      <alignment vertical="center"/>
    </xf>
    <xf numFmtId="0" fontId="44" fillId="10" borderId="14" applyNumberFormat="0" applyAlignment="0" applyProtection="0">
      <alignment vertical="center"/>
    </xf>
    <xf numFmtId="0" fontId="49" fillId="14" borderId="0" applyNumberFormat="0" applyBorder="0" applyAlignment="0" applyProtection="0">
      <alignment vertical="center"/>
    </xf>
    <xf numFmtId="0" fontId="7" fillId="0" borderId="0">
      <alignment vertical="center"/>
    </xf>
    <xf numFmtId="0" fontId="49" fillId="17" borderId="0" applyNumberFormat="0" applyBorder="0" applyAlignment="0" applyProtection="0">
      <alignment vertical="center"/>
    </xf>
    <xf numFmtId="0" fontId="44" fillId="10" borderId="14" applyNumberFormat="0" applyAlignment="0" applyProtection="0">
      <alignment vertical="center"/>
    </xf>
    <xf numFmtId="0" fontId="49" fillId="23" borderId="0" applyNumberFormat="0" applyBorder="0" applyAlignment="0" applyProtection="0">
      <alignment vertical="center"/>
    </xf>
    <xf numFmtId="0" fontId="7" fillId="0" borderId="0">
      <alignment vertical="center"/>
    </xf>
    <xf numFmtId="0" fontId="49" fillId="33" borderId="0" applyNumberFormat="0" applyBorder="0" applyAlignment="0" applyProtection="0">
      <alignment vertical="center"/>
    </xf>
    <xf numFmtId="0" fontId="23" fillId="0" borderId="0"/>
    <xf numFmtId="0" fontId="49" fillId="33"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7" fillId="0" borderId="0">
      <alignment vertical="center"/>
    </xf>
    <xf numFmtId="0" fontId="49" fillId="51" borderId="0" applyNumberFormat="0" applyBorder="0" applyAlignment="0" applyProtection="0">
      <alignment vertical="center"/>
    </xf>
    <xf numFmtId="0" fontId="7" fillId="0" borderId="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0" fillId="10" borderId="13" applyNumberFormat="0" applyAlignment="0" applyProtection="0">
      <alignment vertical="center"/>
    </xf>
    <xf numFmtId="0" fontId="7" fillId="0" borderId="0">
      <alignment vertical="center"/>
    </xf>
    <xf numFmtId="0" fontId="49" fillId="50" borderId="0" applyNumberFormat="0" applyBorder="0" applyAlignment="0" applyProtection="0">
      <alignment vertical="center"/>
    </xf>
    <xf numFmtId="0" fontId="40" fillId="10" borderId="13" applyNumberFormat="0" applyAlignment="0" applyProtection="0">
      <alignment vertical="center"/>
    </xf>
    <xf numFmtId="0" fontId="49" fillId="50" borderId="0" applyNumberFormat="0" applyBorder="0" applyAlignment="0" applyProtection="0">
      <alignment vertical="center"/>
    </xf>
    <xf numFmtId="0" fontId="40" fillId="10" borderId="13" applyNumberFormat="0" applyAlignment="0" applyProtection="0">
      <alignment vertical="center"/>
    </xf>
    <xf numFmtId="0" fontId="49" fillId="50" borderId="0" applyNumberFormat="0" applyBorder="0" applyAlignment="0" applyProtection="0">
      <alignment vertical="center"/>
    </xf>
    <xf numFmtId="0" fontId="69" fillId="52" borderId="27" applyNumberFormat="0" applyAlignment="0" applyProtection="0">
      <alignment vertical="center"/>
    </xf>
    <xf numFmtId="0" fontId="45" fillId="0" borderId="15" applyNumberFormat="0" applyFill="0" applyAlignment="0" applyProtection="0">
      <alignment vertical="center"/>
    </xf>
    <xf numFmtId="0" fontId="49" fillId="33" borderId="0" applyNumberFormat="0" applyBorder="0" applyAlignment="0" applyProtection="0">
      <alignment vertical="center"/>
    </xf>
    <xf numFmtId="0" fontId="41" fillId="11" borderId="13" applyNumberFormat="0" applyAlignment="0" applyProtection="0">
      <alignment vertical="center"/>
    </xf>
    <xf numFmtId="0" fontId="49" fillId="33" borderId="0" applyNumberFormat="0" applyBorder="0" applyAlignment="0" applyProtection="0">
      <alignment vertical="center"/>
    </xf>
    <xf numFmtId="0" fontId="49" fillId="51" borderId="0" applyNumberFormat="0" applyBorder="0" applyAlignment="0" applyProtection="0">
      <alignment vertical="center"/>
    </xf>
    <xf numFmtId="0" fontId="46" fillId="24"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67" fillId="43"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6" fillId="54" borderId="0" applyNumberFormat="0" applyBorder="0" applyAlignment="0" applyProtection="0">
      <alignment vertical="center"/>
    </xf>
    <xf numFmtId="0" fontId="49" fillId="55" borderId="0" applyNumberFormat="0" applyBorder="0" applyAlignment="0" applyProtection="0">
      <alignment vertical="center"/>
    </xf>
    <xf numFmtId="0" fontId="43" fillId="14" borderId="0" applyNumberFormat="0" applyBorder="0" applyAlignment="0" applyProtection="0">
      <alignment vertical="center"/>
    </xf>
    <xf numFmtId="0" fontId="46" fillId="56" borderId="0" applyNumberFormat="0" applyBorder="0" applyAlignment="0" applyProtection="0">
      <alignment vertical="center"/>
    </xf>
    <xf numFmtId="0" fontId="43" fillId="14" borderId="0" applyNumberFormat="0" applyBorder="0" applyAlignment="0" applyProtection="0">
      <alignment vertical="center"/>
    </xf>
    <xf numFmtId="0" fontId="46" fillId="56" borderId="0" applyNumberFormat="0" applyBorder="0" applyAlignment="0" applyProtection="0">
      <alignment vertical="center"/>
    </xf>
    <xf numFmtId="0" fontId="46" fillId="56" borderId="0" applyNumberFormat="0" applyBorder="0" applyAlignment="0" applyProtection="0">
      <alignment vertical="center"/>
    </xf>
    <xf numFmtId="0" fontId="7" fillId="0" borderId="0">
      <alignment vertical="center"/>
    </xf>
    <xf numFmtId="0" fontId="46" fillId="22" borderId="0" applyNumberFormat="0" applyBorder="0" applyAlignment="0" applyProtection="0">
      <alignment vertical="center"/>
    </xf>
    <xf numFmtId="0" fontId="46" fillId="50" borderId="0" applyNumberFormat="0" applyBorder="0" applyAlignment="0" applyProtection="0">
      <alignment vertical="center"/>
    </xf>
    <xf numFmtId="0" fontId="46" fillId="50" borderId="0" applyNumberFormat="0" applyBorder="0" applyAlignment="0" applyProtection="0">
      <alignment vertical="center"/>
    </xf>
    <xf numFmtId="0" fontId="23" fillId="0" borderId="0"/>
    <xf numFmtId="0" fontId="46" fillId="50"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7" fillId="0" borderId="0">
      <alignment vertical="center"/>
    </xf>
    <xf numFmtId="0" fontId="19" fillId="0" borderId="0" applyNumberFormat="0" applyFill="0" applyBorder="0" applyAlignment="0" applyProtection="0"/>
    <xf numFmtId="0" fontId="7" fillId="0" borderId="0">
      <alignment vertical="center"/>
    </xf>
    <xf numFmtId="0" fontId="46" fillId="57" borderId="0" applyNumberFormat="0" applyBorder="0" applyAlignment="0" applyProtection="0">
      <alignment vertical="center"/>
    </xf>
    <xf numFmtId="0" fontId="7" fillId="0" borderId="0">
      <alignment vertical="center"/>
    </xf>
    <xf numFmtId="0" fontId="19" fillId="0" borderId="0" applyNumberFormat="0" applyFill="0" applyBorder="0" applyAlignment="0" applyProtection="0"/>
    <xf numFmtId="0" fontId="7" fillId="0" borderId="0">
      <alignment vertical="center"/>
    </xf>
    <xf numFmtId="0" fontId="66" fillId="0" borderId="25" applyNumberFormat="0" applyFill="0" applyAlignment="0" applyProtection="0">
      <alignment vertical="center"/>
    </xf>
    <xf numFmtId="0" fontId="7" fillId="0" borderId="0">
      <alignment vertical="center"/>
    </xf>
    <xf numFmtId="0" fontId="66" fillId="0" borderId="25" applyNumberFormat="0" applyFill="0" applyAlignment="0" applyProtection="0">
      <alignment vertical="center"/>
    </xf>
    <xf numFmtId="0" fontId="7" fillId="0" borderId="0">
      <alignment vertical="center"/>
    </xf>
    <xf numFmtId="0" fontId="66" fillId="0" borderId="25" applyNumberFormat="0" applyFill="0" applyAlignment="0" applyProtection="0">
      <alignment vertical="center"/>
    </xf>
    <xf numFmtId="0" fontId="7" fillId="0" borderId="0">
      <alignment vertical="center"/>
    </xf>
    <xf numFmtId="0" fontId="68" fillId="0" borderId="26" applyNumberFormat="0" applyFill="0" applyAlignment="0" applyProtection="0">
      <alignment vertical="center"/>
    </xf>
    <xf numFmtId="0" fontId="68" fillId="0" borderId="26" applyNumberFormat="0" applyFill="0" applyAlignment="0" applyProtection="0">
      <alignment vertical="center"/>
    </xf>
    <xf numFmtId="0" fontId="7" fillId="0" borderId="0">
      <alignment vertical="center"/>
    </xf>
    <xf numFmtId="0" fontId="68" fillId="0" borderId="26" applyNumberFormat="0" applyFill="0" applyAlignment="0" applyProtection="0">
      <alignment vertical="center"/>
    </xf>
    <xf numFmtId="0" fontId="7" fillId="0" borderId="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43" fontId="23" fillId="0" borderId="0" applyFont="0" applyFill="0" applyBorder="0" applyAlignment="0" applyProtection="0"/>
    <xf numFmtId="0" fontId="7"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15" applyNumberFormat="0" applyFill="0" applyAlignment="0" applyProtection="0">
      <alignment vertical="center"/>
    </xf>
    <xf numFmtId="0" fontId="47" fillId="0" borderId="0" applyNumberFormat="0" applyFill="0" applyBorder="0" applyAlignment="0" applyProtection="0">
      <alignment vertical="center"/>
    </xf>
    <xf numFmtId="0" fontId="7" fillId="0" borderId="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7" fillId="0" borderId="0">
      <alignment vertical="center"/>
    </xf>
    <xf numFmtId="0" fontId="55" fillId="23" borderId="0" applyNumberFormat="0" applyBorder="0" applyAlignment="0" applyProtection="0">
      <alignment vertical="center"/>
    </xf>
    <xf numFmtId="0" fontId="7" fillId="0" borderId="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43" fillId="14"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23" fillId="0" borderId="0"/>
    <xf numFmtId="0" fontId="7" fillId="0" borderId="0">
      <alignment vertical="center"/>
    </xf>
    <xf numFmtId="0" fontId="7" fillId="0" borderId="0">
      <alignment vertical="center"/>
    </xf>
    <xf numFmtId="0" fontId="23" fillId="0" borderId="0"/>
    <xf numFmtId="0" fontId="23" fillId="0" borderId="0">
      <alignment vertical="center"/>
    </xf>
    <xf numFmtId="0" fontId="23" fillId="0" borderId="0"/>
    <xf numFmtId="0" fontId="4" fillId="0" borderId="0"/>
    <xf numFmtId="0" fontId="49" fillId="0" borderId="0">
      <alignment vertical="center"/>
    </xf>
    <xf numFmtId="0" fontId="49" fillId="0" borderId="0">
      <alignment vertical="center"/>
    </xf>
    <xf numFmtId="0" fontId="34" fillId="0" borderId="0" applyFont="0" applyAlignment="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49" fillId="0" borderId="0" applyFont="0" applyFill="0" applyBorder="0" applyAlignment="0" applyProtection="0">
      <alignment vertical="center"/>
    </xf>
    <xf numFmtId="0" fontId="7" fillId="0" borderId="0">
      <alignment vertical="center"/>
    </xf>
    <xf numFmtId="43" fontId="49" fillId="0" borderId="0" applyFont="0" applyFill="0" applyBorder="0" applyAlignment="0" applyProtection="0">
      <alignment vertical="center"/>
    </xf>
    <xf numFmtId="0" fontId="23" fillId="0" borderId="0"/>
    <xf numFmtId="0" fontId="7" fillId="0" borderId="0">
      <alignment vertical="center"/>
    </xf>
    <xf numFmtId="0" fontId="46" fillId="36" borderId="0" applyNumberFormat="0" applyBorder="0" applyAlignment="0" applyProtection="0">
      <alignment vertical="center"/>
    </xf>
    <xf numFmtId="0" fontId="7" fillId="0" borderId="0">
      <alignment vertical="center"/>
    </xf>
    <xf numFmtId="0" fontId="7" fillId="0" borderId="0">
      <alignment vertical="center"/>
    </xf>
    <xf numFmtId="0" fontId="23"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1" fillId="11" borderId="13"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46" fillId="24" borderId="0" applyNumberFormat="0" applyBorder="0" applyAlignment="0" applyProtection="0">
      <alignment vertical="center"/>
    </xf>
    <xf numFmtId="0" fontId="23" fillId="0" borderId="0">
      <alignment vertical="center"/>
    </xf>
    <xf numFmtId="0" fontId="46" fillId="24" borderId="0" applyNumberFormat="0" applyBorder="0" applyAlignment="0" applyProtection="0">
      <alignment vertical="center"/>
    </xf>
    <xf numFmtId="0" fontId="23" fillId="0" borderId="0">
      <alignment vertical="center"/>
    </xf>
    <xf numFmtId="0" fontId="46" fillId="24" borderId="0" applyNumberFormat="0" applyBorder="0" applyAlignment="0" applyProtection="0">
      <alignment vertical="center"/>
    </xf>
    <xf numFmtId="0" fontId="23" fillId="0" borderId="0">
      <alignment vertical="center"/>
    </xf>
    <xf numFmtId="0" fontId="7" fillId="0" borderId="0">
      <alignment vertical="center"/>
    </xf>
    <xf numFmtId="0" fontId="41" fillId="11" borderId="13" applyNumberFormat="0" applyAlignment="0" applyProtection="0">
      <alignment vertical="center"/>
    </xf>
    <xf numFmtId="0" fontId="7" fillId="0" borderId="0">
      <alignment vertical="center"/>
    </xf>
    <xf numFmtId="0" fontId="43" fillId="14" borderId="0" applyNumberFormat="0" applyBorder="0" applyAlignment="0" applyProtection="0">
      <alignment vertical="center"/>
    </xf>
    <xf numFmtId="0" fontId="49" fillId="0" borderId="0">
      <alignment vertical="center"/>
    </xf>
    <xf numFmtId="0" fontId="0" fillId="0" borderId="0"/>
    <xf numFmtId="0" fontId="23" fillId="0" borderId="0"/>
    <xf numFmtId="0" fontId="23" fillId="0" borderId="0"/>
    <xf numFmtId="0" fontId="7" fillId="0" borderId="0">
      <alignment vertical="center"/>
    </xf>
    <xf numFmtId="0" fontId="23" fillId="0" borderId="0"/>
    <xf numFmtId="0" fontId="7" fillId="0" borderId="0">
      <alignment vertical="center"/>
    </xf>
    <xf numFmtId="0" fontId="7" fillId="0" borderId="0">
      <alignment vertical="center"/>
    </xf>
    <xf numFmtId="0" fontId="0" fillId="0" borderId="0"/>
    <xf numFmtId="0" fontId="34" fillId="30" borderId="21" applyNumberFormat="0" applyFont="0" applyAlignment="0" applyProtection="0">
      <alignment vertical="center"/>
    </xf>
    <xf numFmtId="0" fontId="7" fillId="0" borderId="0">
      <alignment vertical="center"/>
    </xf>
    <xf numFmtId="0" fontId="34" fillId="30" borderId="21" applyNumberFormat="0" applyFont="0" applyAlignment="0" applyProtection="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3" fillId="0" borderId="0"/>
    <xf numFmtId="0" fontId="23" fillId="0" borderId="0"/>
    <xf numFmtId="0" fontId="23" fillId="0" borderId="0"/>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5" fillId="0" borderId="15" applyNumberFormat="0" applyFill="0" applyAlignment="0" applyProtection="0">
      <alignment vertical="center"/>
    </xf>
    <xf numFmtId="0" fontId="45" fillId="0" borderId="15" applyNumberFormat="0" applyFill="0" applyAlignment="0" applyProtection="0">
      <alignment vertical="center"/>
    </xf>
    <xf numFmtId="0" fontId="45" fillId="0" borderId="15" applyNumberFormat="0" applyFill="0" applyAlignment="0" applyProtection="0">
      <alignment vertical="center"/>
    </xf>
    <xf numFmtId="0" fontId="45" fillId="0" borderId="15" applyNumberFormat="0" applyFill="0" applyAlignment="0" applyProtection="0">
      <alignment vertical="center"/>
    </xf>
    <xf numFmtId="0" fontId="69" fillId="52" borderId="27" applyNumberFormat="0" applyAlignment="0" applyProtection="0">
      <alignment vertical="center"/>
    </xf>
    <xf numFmtId="0" fontId="69" fillId="52" borderId="27"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46" fillId="57" borderId="0" applyNumberFormat="0" applyBorder="0" applyAlignment="0" applyProtection="0">
      <alignment vertical="center"/>
    </xf>
    <xf numFmtId="0" fontId="46" fillId="57"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67" fillId="43" borderId="0" applyNumberFormat="0" applyBorder="0" applyAlignment="0" applyProtection="0">
      <alignment vertical="center"/>
    </xf>
    <xf numFmtId="0" fontId="41" fillId="11" borderId="13" applyNumberFormat="0" applyAlignment="0" applyProtection="0">
      <alignment vertical="center"/>
    </xf>
    <xf numFmtId="0" fontId="41" fillId="11" borderId="13" applyNumberFormat="0" applyAlignment="0" applyProtection="0">
      <alignment vertical="center"/>
    </xf>
    <xf numFmtId="0" fontId="41" fillId="11" borderId="13" applyNumberFormat="0" applyAlignment="0" applyProtection="0">
      <alignment vertical="center"/>
    </xf>
    <xf numFmtId="0" fontId="5" fillId="0" borderId="0"/>
    <xf numFmtId="0" fontId="34" fillId="30" borderId="21" applyNumberFormat="0" applyFont="0" applyAlignment="0" applyProtection="0">
      <alignment vertical="center"/>
    </xf>
    <xf numFmtId="0" fontId="34" fillId="30" borderId="21" applyNumberFormat="0" applyFont="0" applyAlignment="0" applyProtection="0">
      <alignment vertical="center"/>
    </xf>
    <xf numFmtId="0" fontId="34" fillId="30" borderId="21" applyNumberFormat="0" applyFont="0" applyAlignment="0" applyProtection="0">
      <alignment vertical="center"/>
    </xf>
  </cellStyleXfs>
  <cellXfs count="260">
    <xf numFmtId="0" fontId="0" fillId="0" borderId="0" xfId="0"/>
    <xf numFmtId="0" fontId="1" fillId="0" borderId="0" xfId="245" applyFont="1"/>
    <xf numFmtId="0" fontId="2" fillId="0" borderId="0" xfId="245" applyFont="1"/>
    <xf numFmtId="0" fontId="3" fillId="0" borderId="0" xfId="245" applyFont="1"/>
    <xf numFmtId="0" fontId="4" fillId="0" borderId="0" xfId="245" applyFont="1"/>
    <xf numFmtId="0" fontId="4" fillId="0" borderId="0" xfId="245" applyFont="1" applyAlignment="1">
      <alignment horizontal="center"/>
    </xf>
    <xf numFmtId="178" fontId="4" fillId="0" borderId="0" xfId="245" applyNumberFormat="1" applyFont="1"/>
    <xf numFmtId="0" fontId="5" fillId="0" borderId="0" xfId="245"/>
    <xf numFmtId="0" fontId="6" fillId="0" borderId="0" xfId="89" applyFont="1">
      <alignment vertical="center"/>
    </xf>
    <xf numFmtId="0" fontId="7" fillId="0" borderId="0" xfId="89">
      <alignment vertical="center"/>
    </xf>
    <xf numFmtId="0" fontId="7" fillId="0" borderId="0" xfId="89" applyAlignment="1">
      <alignment horizontal="center" vertical="center"/>
    </xf>
    <xf numFmtId="0" fontId="1" fillId="0" borderId="0" xfId="245" applyFont="1" applyAlignment="1">
      <alignment horizontal="centerContinuous" vertical="center"/>
    </xf>
    <xf numFmtId="0" fontId="8" fillId="0" borderId="0" xfId="89" applyFont="1" applyAlignment="1">
      <alignment horizontal="center" vertical="center"/>
    </xf>
    <xf numFmtId="0" fontId="7" fillId="0" borderId="0" xfId="89" applyAlignment="1">
      <alignment horizontal="right" vertical="center"/>
    </xf>
    <xf numFmtId="0" fontId="3" fillId="0" borderId="1" xfId="245" applyFont="1" applyFill="1" applyBorder="1" applyAlignment="1">
      <alignment horizontal="center" vertical="center" wrapText="1"/>
    </xf>
    <xf numFmtId="178" fontId="3" fillId="0" borderId="1" xfId="245" applyNumberFormat="1" applyFont="1" applyFill="1" applyBorder="1" applyAlignment="1">
      <alignment horizontal="center" vertical="center" wrapText="1"/>
    </xf>
    <xf numFmtId="0" fontId="9" fillId="0" borderId="2" xfId="245" applyFont="1" applyFill="1" applyBorder="1" applyAlignment="1">
      <alignment horizontal="center" vertical="center" wrapText="1"/>
    </xf>
    <xf numFmtId="0" fontId="9" fillId="0" borderId="3" xfId="245" applyFont="1" applyFill="1" applyBorder="1" applyAlignment="1">
      <alignment horizontal="center" vertical="center" wrapText="1"/>
    </xf>
    <xf numFmtId="176" fontId="9" fillId="0" borderId="1" xfId="245" applyNumberFormat="1" applyFont="1" applyFill="1" applyBorder="1" applyAlignment="1">
      <alignment horizontal="center" vertical="center" wrapText="1"/>
    </xf>
    <xf numFmtId="0" fontId="9" fillId="0" borderId="1" xfId="245" applyFont="1" applyFill="1" applyBorder="1" applyAlignment="1">
      <alignment horizontal="center" vertical="center" wrapText="1"/>
    </xf>
    <xf numFmtId="0" fontId="7" fillId="0" borderId="1" xfId="146" applyFont="1" applyFill="1" applyBorder="1" applyAlignment="1" applyProtection="1">
      <alignment horizontal="left" vertical="center" wrapText="1"/>
    </xf>
    <xf numFmtId="0" fontId="10" fillId="0" borderId="1" xfId="195" applyFont="1" applyFill="1" applyBorder="1" applyAlignment="1" applyProtection="1">
      <alignment horizontal="left" vertical="center" wrapText="1"/>
    </xf>
    <xf numFmtId="0" fontId="10" fillId="0" borderId="1" xfId="195" applyFont="1" applyFill="1" applyBorder="1" applyAlignment="1" applyProtection="1">
      <alignment horizontal="center" vertical="center" wrapText="1"/>
    </xf>
    <xf numFmtId="176" fontId="10" fillId="0" borderId="1" xfId="91" applyNumberFormat="1" applyFont="1" applyFill="1" applyBorder="1" applyAlignment="1" applyProtection="1">
      <alignment horizontal="center" vertical="center" wrapText="1"/>
    </xf>
    <xf numFmtId="0" fontId="10" fillId="0" borderId="1" xfId="245" applyFont="1" applyFill="1" applyBorder="1" applyAlignment="1">
      <alignment horizontal="center" vertical="center" wrapText="1"/>
    </xf>
    <xf numFmtId="0" fontId="7" fillId="2" borderId="1" xfId="146" applyFont="1" applyFill="1" applyBorder="1" applyAlignment="1" applyProtection="1">
      <alignment horizontal="left" vertical="center" wrapText="1"/>
    </xf>
    <xf numFmtId="0" fontId="10" fillId="2" borderId="1" xfId="195" applyFont="1" applyFill="1" applyBorder="1" applyAlignment="1" applyProtection="1">
      <alignment horizontal="left" vertical="center" wrapText="1"/>
    </xf>
    <xf numFmtId="0" fontId="10" fillId="2" borderId="1" xfId="195" applyFont="1" applyFill="1" applyBorder="1" applyAlignment="1" applyProtection="1">
      <alignment horizontal="center" vertical="center" wrapText="1"/>
    </xf>
    <xf numFmtId="176" fontId="10" fillId="2" borderId="1" xfId="91" applyNumberFormat="1" applyFont="1" applyFill="1" applyBorder="1" applyAlignment="1" applyProtection="1">
      <alignment horizontal="center" vertical="center" wrapText="1"/>
    </xf>
    <xf numFmtId="0" fontId="10" fillId="0" borderId="4" xfId="245" applyFont="1" applyBorder="1" applyAlignment="1">
      <alignment horizontal="center" vertical="center" wrapText="1"/>
    </xf>
    <xf numFmtId="0" fontId="10" fillId="0" borderId="1" xfId="245" applyFont="1" applyBorder="1" applyAlignment="1">
      <alignment horizontal="center" vertical="center" wrapText="1"/>
    </xf>
    <xf numFmtId="0" fontId="7" fillId="2" borderId="1" xfId="195" applyFont="1" applyFill="1" applyBorder="1" applyAlignment="1" applyProtection="1">
      <alignment vertical="center" wrapText="1"/>
    </xf>
    <xf numFmtId="0" fontId="4" fillId="0" borderId="0" xfId="245" applyFont="1" applyFill="1"/>
    <xf numFmtId="0" fontId="4" fillId="0" borderId="0" xfId="245" applyFont="1" applyFill="1" applyAlignment="1">
      <alignment horizontal="center"/>
    </xf>
    <xf numFmtId="178" fontId="4" fillId="0" borderId="0" xfId="245" applyNumberFormat="1" applyFont="1" applyFill="1"/>
    <xf numFmtId="0" fontId="5" fillId="0" borderId="0" xfId="245" applyFill="1"/>
    <xf numFmtId="0" fontId="4" fillId="0" borderId="0" xfId="196" applyFont="1" applyFill="1" applyAlignment="1">
      <alignment wrapText="1"/>
    </xf>
    <xf numFmtId="0" fontId="4" fillId="0" borderId="0" xfId="196" applyFont="1" applyFill="1" applyAlignment="1">
      <alignment horizontal="center"/>
    </xf>
    <xf numFmtId="0" fontId="4" fillId="0" borderId="0" xfId="196" applyFont="1" applyFill="1"/>
    <xf numFmtId="0" fontId="11" fillId="0" borderId="0" xfId="196" applyFont="1" applyFill="1" applyAlignment="1">
      <alignment horizontal="left"/>
    </xf>
    <xf numFmtId="0" fontId="12" fillId="0" borderId="0" xfId="196" applyFont="1" applyFill="1"/>
    <xf numFmtId="0" fontId="13" fillId="0" borderId="0" xfId="196" applyNumberFormat="1" applyFont="1" applyFill="1" applyBorder="1" applyAlignment="1" applyProtection="1">
      <alignment horizontal="center" vertical="center"/>
    </xf>
    <xf numFmtId="0" fontId="4" fillId="0" borderId="0" xfId="196" applyNumberFormat="1" applyFont="1" applyFill="1" applyBorder="1" applyAlignment="1" applyProtection="1">
      <alignment horizontal="right" vertical="center"/>
    </xf>
    <xf numFmtId="0" fontId="14" fillId="0" borderId="1" xfId="196" applyNumberFormat="1" applyFont="1" applyFill="1" applyBorder="1" applyAlignment="1" applyProtection="1">
      <alignment horizontal="center" vertical="center" wrapText="1"/>
    </xf>
    <xf numFmtId="0" fontId="4" fillId="0" borderId="1" xfId="196" applyNumberFormat="1" applyFont="1" applyFill="1" applyBorder="1" applyAlignment="1" applyProtection="1">
      <alignment horizontal="center" vertical="center" wrapText="1"/>
    </xf>
    <xf numFmtId="0" fontId="4" fillId="0" borderId="1" xfId="196" applyNumberFormat="1" applyFont="1" applyFill="1" applyBorder="1" applyAlignment="1" applyProtection="1">
      <alignment horizontal="left" vertical="center" wrapText="1"/>
    </xf>
    <xf numFmtId="179" fontId="4" fillId="0" borderId="1" xfId="200" applyNumberFormat="1" applyFont="1" applyFill="1" applyBorder="1" applyAlignment="1" applyProtection="1">
      <alignment horizontal="right" vertical="center"/>
    </xf>
    <xf numFmtId="179" fontId="4" fillId="0" borderId="1" xfId="200" applyNumberFormat="1" applyFont="1" applyFill="1" applyBorder="1" applyAlignment="1" applyProtection="1">
      <alignment vertical="center" wrapText="1"/>
    </xf>
    <xf numFmtId="179" fontId="14" fillId="0" borderId="1" xfId="196" applyNumberFormat="1" applyFont="1" applyFill="1" applyBorder="1" applyAlignment="1" applyProtection="1">
      <alignment vertical="center" wrapText="1"/>
    </xf>
    <xf numFmtId="0" fontId="4" fillId="0" borderId="1" xfId="196" applyFont="1" applyFill="1" applyBorder="1" applyAlignment="1">
      <alignment horizontal="center" vertical="center"/>
    </xf>
    <xf numFmtId="179" fontId="4" fillId="0" borderId="1" xfId="196" applyNumberFormat="1" applyFont="1" applyFill="1" applyBorder="1" applyAlignment="1" applyProtection="1">
      <alignment vertical="center" wrapText="1"/>
    </xf>
    <xf numFmtId="0" fontId="14" fillId="0" borderId="1" xfId="196" applyFont="1" applyFill="1" applyBorder="1" applyAlignment="1">
      <alignment horizontal="center" vertical="center"/>
    </xf>
    <xf numFmtId="0" fontId="4" fillId="0" borderId="5" xfId="196" applyNumberFormat="1" applyFont="1" applyFill="1" applyBorder="1" applyAlignment="1" applyProtection="1">
      <alignment horizontal="right" vertical="center"/>
    </xf>
    <xf numFmtId="0" fontId="14" fillId="0" borderId="6" xfId="196" applyNumberFormat="1" applyFont="1" applyFill="1" applyBorder="1" applyAlignment="1" applyProtection="1">
      <alignment horizontal="center" vertical="center" wrapText="1"/>
    </xf>
    <xf numFmtId="0" fontId="14" fillId="0" borderId="7" xfId="196" applyNumberFormat="1" applyFont="1" applyFill="1" applyBorder="1" applyAlignment="1" applyProtection="1">
      <alignment horizontal="center" vertical="center" wrapText="1"/>
    </xf>
    <xf numFmtId="179" fontId="4" fillId="0" borderId="1" xfId="196" applyNumberFormat="1" applyFont="1" applyFill="1" applyBorder="1" applyAlignment="1" applyProtection="1">
      <alignment horizontal="right" vertical="center" wrapText="1"/>
    </xf>
    <xf numFmtId="0" fontId="4" fillId="0" borderId="6" xfId="196" applyNumberFormat="1" applyFont="1" applyFill="1" applyBorder="1" applyAlignment="1" applyProtection="1">
      <alignment horizontal="left" vertical="center" wrapText="1"/>
    </xf>
    <xf numFmtId="180" fontId="4" fillId="0" borderId="7" xfId="196" applyNumberFormat="1" applyFont="1" applyFill="1" applyBorder="1" applyAlignment="1" applyProtection="1">
      <alignment horizontal="left" vertical="center" wrapText="1"/>
    </xf>
    <xf numFmtId="181" fontId="4" fillId="0" borderId="7" xfId="196" applyNumberFormat="1" applyFont="1" applyFill="1" applyBorder="1" applyAlignment="1" applyProtection="1">
      <alignment horizontal="right" vertical="center" wrapText="1"/>
    </xf>
    <xf numFmtId="0" fontId="4" fillId="0" borderId="7" xfId="196" applyNumberFormat="1" applyFont="1" applyFill="1" applyBorder="1" applyAlignment="1" applyProtection="1">
      <alignment horizontal="left" vertical="center" wrapText="1"/>
    </xf>
    <xf numFmtId="179" fontId="4" fillId="0" borderId="0" xfId="196" applyNumberFormat="1" applyFont="1" applyFill="1" applyAlignment="1">
      <alignment wrapText="1"/>
    </xf>
    <xf numFmtId="179" fontId="4" fillId="0" borderId="0" xfId="196" applyNumberFormat="1" applyFont="1" applyFill="1"/>
    <xf numFmtId="182" fontId="4" fillId="0" borderId="0" xfId="196" applyNumberFormat="1" applyFont="1" applyFill="1"/>
    <xf numFmtId="0" fontId="14" fillId="0" borderId="0" xfId="258" applyFont="1"/>
    <xf numFmtId="0" fontId="15" fillId="0" borderId="0" xfId="258" applyFont="1"/>
    <xf numFmtId="0" fontId="16" fillId="0" borderId="0" xfId="258" applyFont="1"/>
    <xf numFmtId="0" fontId="14" fillId="0" borderId="0" xfId="258" applyFont="1" applyFill="1"/>
    <xf numFmtId="0" fontId="4" fillId="0" borderId="0" xfId="258" applyFont="1"/>
    <xf numFmtId="0" fontId="17" fillId="0" borderId="0" xfId="91" applyFont="1" applyAlignment="1">
      <alignment vertical="center"/>
    </xf>
    <xf numFmtId="0" fontId="18" fillId="0" borderId="0" xfId="258" applyFont="1" applyAlignment="1">
      <alignment horizontal="center" vertical="center"/>
    </xf>
    <xf numFmtId="0" fontId="18" fillId="0" borderId="0" xfId="258" applyFont="1" applyAlignment="1">
      <alignment horizontal="center" vertical="top"/>
    </xf>
    <xf numFmtId="0" fontId="11" fillId="0" borderId="0" xfId="258" applyFont="1" applyAlignment="1">
      <alignment horizontal="center" vertical="center"/>
    </xf>
    <xf numFmtId="0" fontId="19" fillId="0" borderId="1" xfId="258" applyFont="1" applyBorder="1" applyAlignment="1">
      <alignment horizontal="center" vertical="center"/>
    </xf>
    <xf numFmtId="0" fontId="19" fillId="0" borderId="1" xfId="258" applyFont="1" applyBorder="1" applyAlignment="1">
      <alignment horizontal="center" vertical="center" wrapText="1"/>
    </xf>
    <xf numFmtId="0" fontId="20" fillId="0" borderId="1" xfId="258" applyFont="1" applyBorder="1" applyAlignment="1">
      <alignment horizontal="center" vertical="center"/>
    </xf>
    <xf numFmtId="176" fontId="20" fillId="0" borderId="1" xfId="258" applyNumberFormat="1" applyFont="1" applyBorder="1" applyAlignment="1">
      <alignment horizontal="center" vertical="center"/>
    </xf>
    <xf numFmtId="10" fontId="20" fillId="0" borderId="1" xfId="258" applyNumberFormat="1" applyFont="1" applyBorder="1" applyAlignment="1">
      <alignment horizontal="center" vertical="center"/>
    </xf>
    <xf numFmtId="0" fontId="21" fillId="0" borderId="1" xfId="0" applyFont="1" applyBorder="1" applyAlignment="1">
      <alignment horizontal="center" vertical="center"/>
    </xf>
    <xf numFmtId="0" fontId="4" fillId="0" borderId="1" xfId="258" applyFont="1" applyBorder="1" applyAlignment="1">
      <alignment horizontal="left" vertical="center"/>
    </xf>
    <xf numFmtId="176" fontId="4" fillId="0" borderId="1" xfId="258" applyNumberFormat="1" applyFont="1" applyBorder="1" applyAlignment="1">
      <alignment horizontal="center" vertical="center"/>
    </xf>
    <xf numFmtId="0" fontId="4" fillId="0" borderId="1" xfId="258" applyFont="1" applyBorder="1" applyAlignment="1">
      <alignment horizontal="center" vertical="center"/>
    </xf>
    <xf numFmtId="10" fontId="4" fillId="0" borderId="1" xfId="258" applyNumberFormat="1" applyFont="1" applyBorder="1" applyAlignment="1">
      <alignment horizontal="center" vertical="center"/>
    </xf>
    <xf numFmtId="0" fontId="11" fillId="0" borderId="1" xfId="0" applyFont="1" applyBorder="1" applyAlignment="1">
      <alignment vertical="center"/>
    </xf>
    <xf numFmtId="0" fontId="14" fillId="0" borderId="2" xfId="0" applyFont="1" applyBorder="1" applyAlignment="1">
      <alignment horizontal="left" vertical="center"/>
    </xf>
    <xf numFmtId="183" fontId="11" fillId="0" borderId="1" xfId="0" applyNumberFormat="1" applyFont="1" applyBorder="1" applyAlignment="1">
      <alignment vertical="center"/>
    </xf>
    <xf numFmtId="0" fontId="4" fillId="0" borderId="1" xfId="258" applyFont="1" applyFill="1" applyBorder="1" applyAlignment="1">
      <alignment vertical="center"/>
    </xf>
    <xf numFmtId="0" fontId="14" fillId="0" borderId="2" xfId="0" applyFont="1" applyFill="1" applyBorder="1" applyAlignment="1">
      <alignment vertical="center"/>
    </xf>
    <xf numFmtId="49" fontId="4" fillId="0" borderId="1" xfId="258" applyNumberFormat="1" applyFont="1" applyFill="1" applyBorder="1" applyAlignment="1">
      <alignment vertical="center" wrapText="1"/>
    </xf>
    <xf numFmtId="49" fontId="4" fillId="0" borderId="8" xfId="0" applyNumberFormat="1" applyFont="1" applyFill="1" applyBorder="1" applyAlignment="1">
      <alignment vertical="center" wrapText="1"/>
    </xf>
    <xf numFmtId="183" fontId="11" fillId="0" borderId="1" xfId="0" applyNumberFormat="1" applyFont="1" applyFill="1" applyBorder="1" applyAlignment="1">
      <alignment vertical="center"/>
    </xf>
    <xf numFmtId="0" fontId="4" fillId="0" borderId="8" xfId="0" applyFont="1" applyFill="1" applyBorder="1" applyAlignment="1">
      <alignment horizontal="left" vertical="center" wrapText="1"/>
    </xf>
    <xf numFmtId="0" fontId="4" fillId="0" borderId="1" xfId="200" applyFont="1" applyFill="1" applyBorder="1" applyAlignment="1">
      <alignment horizontal="left" vertical="center" wrapText="1"/>
    </xf>
    <xf numFmtId="49" fontId="4" fillId="0" borderId="1" xfId="200" applyNumberFormat="1" applyFont="1" applyFill="1" applyBorder="1" applyAlignment="1">
      <alignment vertical="center" wrapText="1"/>
    </xf>
    <xf numFmtId="49" fontId="15" fillId="0" borderId="1" xfId="258" applyNumberFormat="1" applyFont="1" applyFill="1" applyBorder="1" applyAlignment="1">
      <alignment vertical="center" wrapText="1"/>
    </xf>
    <xf numFmtId="0" fontId="15" fillId="0" borderId="1" xfId="258" applyFont="1" applyBorder="1" applyAlignment="1">
      <alignment horizontal="center" vertical="center"/>
    </xf>
    <xf numFmtId="10" fontId="15" fillId="0" borderId="1" xfId="258" applyNumberFormat="1" applyFont="1" applyBorder="1" applyAlignment="1">
      <alignment horizontal="center" vertical="center"/>
    </xf>
    <xf numFmtId="49" fontId="15" fillId="0" borderId="8" xfId="0" applyNumberFormat="1" applyFont="1" applyFill="1" applyBorder="1" applyAlignment="1">
      <alignment vertical="center" wrapText="1"/>
    </xf>
    <xf numFmtId="183" fontId="22" fillId="0" borderId="1" xfId="0" applyNumberFormat="1" applyFont="1" applyFill="1" applyBorder="1" applyAlignment="1">
      <alignment vertical="center"/>
    </xf>
    <xf numFmtId="49" fontId="15" fillId="0" borderId="1" xfId="0" applyNumberFormat="1" applyFont="1" applyFill="1" applyBorder="1" applyAlignment="1">
      <alignment vertical="center" wrapText="1"/>
    </xf>
    <xf numFmtId="176" fontId="15" fillId="0" borderId="1" xfId="258" applyNumberFormat="1" applyFont="1" applyBorder="1" applyAlignment="1">
      <alignment horizontal="center" vertical="center"/>
    </xf>
    <xf numFmtId="49" fontId="4" fillId="0" borderId="1"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0" fontId="4" fillId="0" borderId="1" xfId="258" applyFont="1" applyBorder="1" applyAlignment="1">
      <alignment vertical="center"/>
    </xf>
    <xf numFmtId="49" fontId="4" fillId="0" borderId="1" xfId="258" applyNumberFormat="1" applyFont="1" applyBorder="1" applyAlignment="1">
      <alignment vertical="center" wrapText="1"/>
    </xf>
    <xf numFmtId="0" fontId="4" fillId="0" borderId="1" xfId="258" applyFont="1" applyFill="1" applyBorder="1" applyAlignment="1">
      <alignment horizontal="center" vertical="center"/>
    </xf>
    <xf numFmtId="0" fontId="20" fillId="0" borderId="1" xfId="258" applyFont="1" applyFill="1" applyBorder="1" applyAlignment="1">
      <alignment horizontal="center" vertical="center"/>
    </xf>
    <xf numFmtId="0" fontId="11" fillId="0" borderId="1" xfId="0" applyFont="1" applyBorder="1" applyAlignment="1">
      <alignment horizontal="center" vertical="center"/>
    </xf>
    <xf numFmtId="176" fontId="4" fillId="0" borderId="0" xfId="258" applyNumberFormat="1" applyFont="1"/>
    <xf numFmtId="0" fontId="23" fillId="3" borderId="0" xfId="258" applyFill="1"/>
    <xf numFmtId="0" fontId="23" fillId="0" borderId="0" xfId="258"/>
    <xf numFmtId="0" fontId="23" fillId="0" borderId="0" xfId="258" applyFill="1"/>
    <xf numFmtId="0" fontId="17" fillId="0" borderId="0" xfId="258" applyFont="1" applyAlignment="1">
      <alignment vertical="top"/>
    </xf>
    <xf numFmtId="0" fontId="24" fillId="0" borderId="0" xfId="258" applyFont="1" applyAlignment="1">
      <alignment horizontal="center" vertical="center"/>
    </xf>
    <xf numFmtId="0" fontId="25" fillId="0" borderId="0" xfId="258" applyFont="1" applyBorder="1" applyAlignment="1">
      <alignment horizontal="right"/>
    </xf>
    <xf numFmtId="0" fontId="14" fillId="0" borderId="1" xfId="258" applyFont="1" applyBorder="1" applyAlignment="1">
      <alignment horizontal="center" vertical="center"/>
    </xf>
    <xf numFmtId="0" fontId="14" fillId="0" borderId="1" xfId="258" applyFont="1" applyFill="1" applyBorder="1" applyAlignment="1">
      <alignment horizontal="center" vertical="center" wrapText="1"/>
    </xf>
    <xf numFmtId="3" fontId="4" fillId="0" borderId="1" xfId="258"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4" fillId="0" borderId="1" xfId="274" applyNumberFormat="1" applyFont="1" applyFill="1" applyBorder="1" applyAlignment="1" applyProtection="1">
      <alignment horizontal="center" vertical="center" shrinkToFit="1"/>
    </xf>
    <xf numFmtId="176" fontId="4" fillId="0" borderId="1" xfId="258" applyNumberFormat="1" applyFont="1" applyFill="1" applyBorder="1" applyAlignment="1">
      <alignment horizontal="center" vertical="center" wrapText="1"/>
    </xf>
    <xf numFmtId="10" fontId="4" fillId="0" borderId="1" xfId="258" applyNumberFormat="1" applyFont="1" applyFill="1" applyBorder="1" applyAlignment="1">
      <alignment horizontal="center" vertical="center" wrapText="1"/>
    </xf>
    <xf numFmtId="3" fontId="4" fillId="3" borderId="1" xfId="258" applyNumberFormat="1" applyFont="1" applyFill="1" applyBorder="1" applyAlignment="1">
      <alignment horizontal="left" vertical="center" wrapText="1"/>
    </xf>
    <xf numFmtId="176" fontId="4" fillId="3" borderId="1" xfId="0" applyNumberFormat="1" applyFont="1" applyFill="1" applyBorder="1" applyAlignment="1">
      <alignment horizontal="center" vertical="center" wrapText="1"/>
    </xf>
    <xf numFmtId="176" fontId="4" fillId="3" borderId="1" xfId="274" applyNumberFormat="1" applyFont="1" applyFill="1" applyBorder="1" applyAlignment="1" applyProtection="1">
      <alignment horizontal="center" vertical="center" shrinkToFit="1"/>
    </xf>
    <xf numFmtId="176" fontId="4" fillId="3" borderId="1" xfId="258" applyNumberFormat="1" applyFont="1" applyFill="1" applyBorder="1" applyAlignment="1">
      <alignment horizontal="center" vertical="center" wrapText="1"/>
    </xf>
    <xf numFmtId="10" fontId="4" fillId="3" borderId="1" xfId="258" applyNumberFormat="1" applyFont="1" applyFill="1" applyBorder="1" applyAlignment="1">
      <alignment horizontal="center" vertical="center" wrapText="1"/>
    </xf>
    <xf numFmtId="0" fontId="14" fillId="0" borderId="1" xfId="258" applyFont="1" applyBorder="1" applyAlignment="1">
      <alignment horizontal="center" vertical="center" wrapText="1"/>
    </xf>
    <xf numFmtId="176" fontId="14" fillId="0" borderId="1" xfId="258" applyNumberFormat="1" applyFont="1" applyFill="1" applyBorder="1" applyAlignment="1">
      <alignment horizontal="center" vertical="center" wrapText="1"/>
    </xf>
    <xf numFmtId="10" fontId="14" fillId="0" borderId="1" xfId="258" applyNumberFormat="1" applyFont="1" applyFill="1" applyBorder="1" applyAlignment="1">
      <alignment horizontal="center" vertical="center" wrapText="1"/>
    </xf>
    <xf numFmtId="0" fontId="23" fillId="0" borderId="0" xfId="258" applyAlignment="1">
      <alignment wrapText="1"/>
    </xf>
    <xf numFmtId="0" fontId="23" fillId="0" borderId="0" xfId="258" applyFont="1" applyAlignment="1">
      <alignment horizontal="right" vertical="center" wrapText="1"/>
    </xf>
    <xf numFmtId="0" fontId="23" fillId="0" borderId="0" xfId="258" applyAlignment="1">
      <alignment horizontal="right" wrapText="1"/>
    </xf>
    <xf numFmtId="0" fontId="23" fillId="0" borderId="0" xfId="258" applyAlignment="1">
      <alignment vertical="center" wrapText="1"/>
    </xf>
    <xf numFmtId="10" fontId="23" fillId="0" borderId="0" xfId="258" applyNumberFormat="1" applyAlignment="1">
      <alignment horizontal="right" vertical="center" wrapText="1"/>
    </xf>
    <xf numFmtId="183" fontId="23" fillId="0" borderId="0" xfId="258" applyNumberFormat="1" applyAlignment="1">
      <alignment horizontal="right" vertical="center" wrapText="1"/>
    </xf>
    <xf numFmtId="183" fontId="23" fillId="0" borderId="0" xfId="258" applyNumberFormat="1" applyFont="1" applyAlignment="1">
      <alignment horizontal="right" vertical="center" wrapText="1"/>
    </xf>
    <xf numFmtId="0" fontId="23" fillId="0" borderId="0" xfId="258" applyAlignment="1">
      <alignment horizontal="right" vertical="center" wrapText="1"/>
    </xf>
    <xf numFmtId="0" fontId="20" fillId="0" borderId="1" xfId="258" applyFont="1" applyBorder="1" applyAlignment="1">
      <alignment horizontal="center" vertical="center" wrapText="1"/>
    </xf>
    <xf numFmtId="176" fontId="14" fillId="0" borderId="1" xfId="258" applyNumberFormat="1" applyFont="1" applyBorder="1" applyAlignment="1">
      <alignment horizontal="center" vertical="center" wrapText="1"/>
    </xf>
    <xf numFmtId="10" fontId="14" fillId="0" borderId="1" xfId="258" applyNumberFormat="1" applyFont="1" applyBorder="1" applyAlignment="1">
      <alignment horizontal="center" vertical="center" wrapText="1"/>
    </xf>
    <xf numFmtId="3" fontId="4" fillId="0" borderId="1" xfId="258" applyNumberFormat="1" applyFont="1" applyFill="1" applyBorder="1" applyAlignment="1">
      <alignment horizontal="center" vertical="center" wrapText="1"/>
    </xf>
    <xf numFmtId="0" fontId="23" fillId="0" borderId="1" xfId="258" applyBorder="1"/>
    <xf numFmtId="176" fontId="14" fillId="3" borderId="1" xfId="258" applyNumberFormat="1" applyFont="1" applyFill="1" applyBorder="1" applyAlignment="1">
      <alignment horizontal="center" vertical="center" wrapText="1"/>
    </xf>
    <xf numFmtId="10" fontId="14" fillId="3" borderId="1" xfId="258" applyNumberFormat="1" applyFont="1" applyFill="1" applyBorder="1" applyAlignment="1">
      <alignment horizontal="center" vertical="center" wrapText="1"/>
    </xf>
    <xf numFmtId="3" fontId="4" fillId="3" borderId="1" xfId="258" applyNumberFormat="1" applyFont="1" applyFill="1" applyBorder="1" applyAlignment="1">
      <alignment horizontal="center" vertical="center" wrapText="1"/>
    </xf>
    <xf numFmtId="3" fontId="23" fillId="0" borderId="0" xfId="258" applyNumberFormat="1"/>
    <xf numFmtId="0" fontId="23" fillId="0" borderId="0" xfId="91" applyFill="1"/>
    <xf numFmtId="0" fontId="19" fillId="0" borderId="0" xfId="91" applyFont="1"/>
    <xf numFmtId="0" fontId="23" fillId="0" borderId="0" xfId="91" applyFont="1"/>
    <xf numFmtId="0" fontId="26" fillId="0" borderId="0" xfId="91" applyFont="1"/>
    <xf numFmtId="0" fontId="23" fillId="0" borderId="0" xfId="91"/>
    <xf numFmtId="0" fontId="23" fillId="0" borderId="0" xfId="91" applyNumberFormat="1"/>
    <xf numFmtId="0" fontId="17" fillId="0" borderId="0" xfId="91" applyFont="1" applyAlignment="1">
      <alignment horizontal="left" vertical="center"/>
    </xf>
    <xf numFmtId="0" fontId="18" fillId="0" borderId="0" xfId="91" applyFont="1" applyAlignment="1">
      <alignment horizontal="center" vertical="center"/>
    </xf>
    <xf numFmtId="0" fontId="23" fillId="0" borderId="9" xfId="91" applyBorder="1" applyAlignment="1">
      <alignment horizontal="right" vertical="center"/>
    </xf>
    <xf numFmtId="0" fontId="3" fillId="0" borderId="1" xfId="91" applyFont="1" applyFill="1" applyBorder="1" applyAlignment="1">
      <alignment horizontal="center" vertical="center"/>
    </xf>
    <xf numFmtId="0" fontId="3" fillId="0" borderId="1" xfId="91" applyFont="1" applyFill="1" applyBorder="1" applyAlignment="1">
      <alignment horizontal="center" vertical="center" wrapText="1"/>
    </xf>
    <xf numFmtId="0" fontId="3" fillId="0" borderId="1" xfId="91" applyNumberFormat="1" applyFont="1" applyFill="1" applyBorder="1" applyAlignment="1">
      <alignment horizontal="center" vertical="center" wrapText="1"/>
    </xf>
    <xf numFmtId="0" fontId="3" fillId="0" borderId="1" xfId="91" applyFont="1" applyBorder="1" applyAlignment="1">
      <alignment horizontal="center" vertical="center"/>
    </xf>
    <xf numFmtId="0" fontId="3" fillId="0" borderId="1" xfId="91" applyFont="1" applyBorder="1" applyAlignment="1">
      <alignment horizontal="center" vertical="center" wrapText="1"/>
    </xf>
    <xf numFmtId="10" fontId="3" fillId="0" borderId="1" xfId="91" applyNumberFormat="1" applyFont="1" applyBorder="1" applyAlignment="1">
      <alignment horizontal="center" vertical="center" wrapText="1"/>
    </xf>
    <xf numFmtId="0" fontId="3" fillId="0" borderId="1" xfId="91" applyFont="1" applyBorder="1" applyAlignment="1">
      <alignment horizontal="left" vertical="center"/>
    </xf>
    <xf numFmtId="0" fontId="2" fillId="0" borderId="1" xfId="91" applyFont="1" applyBorder="1" applyAlignment="1">
      <alignment horizontal="left" vertical="center"/>
    </xf>
    <xf numFmtId="184" fontId="2" fillId="0" borderId="1" xfId="214" applyNumberFormat="1" applyFont="1" applyFill="1" applyBorder="1" applyAlignment="1">
      <alignment horizontal="center" vertical="center"/>
    </xf>
    <xf numFmtId="0" fontId="2" fillId="0" borderId="1" xfId="91" applyFont="1" applyFill="1" applyBorder="1" applyAlignment="1">
      <alignment horizontal="center" vertical="center" wrapText="1"/>
    </xf>
    <xf numFmtId="10" fontId="2" fillId="0" borderId="1" xfId="91" applyNumberFormat="1" applyFont="1" applyBorder="1" applyAlignment="1">
      <alignment horizontal="center" vertical="center" wrapText="1"/>
    </xf>
    <xf numFmtId="184" fontId="2" fillId="0" borderId="1" xfId="91" applyNumberFormat="1" applyFont="1" applyFill="1" applyBorder="1" applyAlignment="1">
      <alignment horizontal="center" vertical="center" wrapText="1"/>
    </xf>
    <xf numFmtId="0" fontId="2" fillId="0" borderId="1" xfId="91" applyFont="1" applyBorder="1" applyAlignment="1">
      <alignment horizontal="center" vertical="center" wrapText="1"/>
    </xf>
    <xf numFmtId="0" fontId="2" fillId="0" borderId="1" xfId="91" applyFont="1" applyFill="1" applyBorder="1" applyAlignment="1">
      <alignment horizontal="center" vertical="center"/>
    </xf>
    <xf numFmtId="0" fontId="2" fillId="0" borderId="1" xfId="91" applyFont="1" applyBorder="1" applyAlignment="1">
      <alignment horizontal="center" vertical="center" shrinkToFit="1"/>
    </xf>
    <xf numFmtId="0" fontId="2" fillId="0" borderId="1" xfId="91" applyFont="1" applyBorder="1" applyAlignment="1">
      <alignment horizontal="left" vertical="center" wrapText="1"/>
    </xf>
    <xf numFmtId="0" fontId="27" fillId="0" borderId="0" xfId="91" applyFont="1"/>
    <xf numFmtId="0" fontId="27" fillId="0" borderId="0" xfId="91" applyFont="1" applyFill="1"/>
    <xf numFmtId="0" fontId="27" fillId="0" borderId="0" xfId="91" applyNumberFormat="1" applyFont="1"/>
    <xf numFmtId="0" fontId="23" fillId="0" borderId="0" xfId="275" applyFill="1"/>
    <xf numFmtId="0" fontId="17" fillId="0" borderId="0" xfId="214" applyFont="1" applyFill="1" applyAlignment="1">
      <alignment vertical="center"/>
    </xf>
    <xf numFmtId="0" fontId="23" fillId="0" borderId="0" xfId="214" applyFont="1" applyFill="1"/>
    <xf numFmtId="0" fontId="1" fillId="0" borderId="0" xfId="214" applyFont="1" applyFill="1" applyAlignment="1">
      <alignment horizontal="center" vertical="center"/>
    </xf>
    <xf numFmtId="0" fontId="28" fillId="0" borderId="1" xfId="214" applyFont="1" applyFill="1" applyBorder="1" applyAlignment="1">
      <alignment horizontal="center" vertical="center"/>
    </xf>
    <xf numFmtId="0" fontId="19" fillId="0" borderId="1" xfId="214" applyFont="1" applyFill="1" applyBorder="1" applyAlignment="1">
      <alignment horizontal="center" vertical="center"/>
    </xf>
    <xf numFmtId="0" fontId="19" fillId="0" borderId="1" xfId="219" applyFont="1" applyFill="1" applyBorder="1" applyAlignment="1">
      <alignment horizontal="center" vertical="center" wrapText="1"/>
    </xf>
    <xf numFmtId="0" fontId="23" fillId="0" borderId="1" xfId="214" applyFont="1" applyFill="1" applyBorder="1" applyAlignment="1">
      <alignment horizontal="left" vertical="center" wrapText="1"/>
    </xf>
    <xf numFmtId="176" fontId="29" fillId="0" borderId="1" xfId="214" applyNumberFormat="1" applyFont="1" applyFill="1" applyBorder="1" applyAlignment="1">
      <alignment horizontal="center" vertical="center"/>
    </xf>
    <xf numFmtId="10" fontId="29" fillId="0" borderId="1" xfId="214" applyNumberFormat="1" applyFont="1" applyFill="1" applyBorder="1" applyAlignment="1">
      <alignment horizontal="center" vertical="center"/>
    </xf>
    <xf numFmtId="0" fontId="23" fillId="0" borderId="1" xfId="214" applyFont="1" applyFill="1" applyBorder="1" applyAlignment="1">
      <alignment vertical="center" wrapText="1"/>
    </xf>
    <xf numFmtId="0" fontId="23" fillId="0" borderId="1" xfId="275" applyFont="1" applyFill="1" applyBorder="1" applyAlignment="1">
      <alignment horizontal="left" vertical="center" wrapText="1"/>
    </xf>
    <xf numFmtId="176" fontId="28" fillId="0" borderId="1" xfId="214" applyNumberFormat="1" applyFont="1" applyFill="1" applyBorder="1" applyAlignment="1">
      <alignment horizontal="center" vertical="center"/>
    </xf>
    <xf numFmtId="0" fontId="19" fillId="0" borderId="1" xfId="214" applyFont="1" applyFill="1" applyBorder="1" applyAlignment="1">
      <alignment horizontal="center" vertical="center" wrapText="1"/>
    </xf>
    <xf numFmtId="184" fontId="23" fillId="0" borderId="0" xfId="275" applyNumberFormat="1" applyFill="1"/>
    <xf numFmtId="4" fontId="30" fillId="0" borderId="0" xfId="0" applyNumberFormat="1" applyFont="1" applyFill="1" applyAlignment="1">
      <alignment vertical="center"/>
    </xf>
    <xf numFmtId="177" fontId="23" fillId="0" borderId="0" xfId="275" applyNumberFormat="1" applyFill="1"/>
    <xf numFmtId="0" fontId="23" fillId="0" borderId="9" xfId="214" applyFont="1" applyFill="1" applyBorder="1" applyAlignment="1">
      <alignment horizontal="right"/>
    </xf>
    <xf numFmtId="184" fontId="29" fillId="0" borderId="1" xfId="214" applyNumberFormat="1" applyFont="1" applyFill="1" applyBorder="1" applyAlignment="1">
      <alignment horizontal="center" vertical="center"/>
    </xf>
    <xf numFmtId="0" fontId="31" fillId="0" borderId="1" xfId="214" applyFont="1" applyFill="1" applyBorder="1" applyAlignment="1">
      <alignment vertical="center" wrapText="1"/>
    </xf>
    <xf numFmtId="0" fontId="23" fillId="0" borderId="9" xfId="214" applyFont="1" applyFill="1" applyBorder="1" applyAlignment="1">
      <alignment horizontal="right" vertical="center"/>
    </xf>
    <xf numFmtId="0" fontId="23" fillId="0" borderId="0" xfId="275" applyFill="1" applyAlignment="1">
      <alignment vertical="center"/>
    </xf>
    <xf numFmtId="0" fontId="23" fillId="0" borderId="0" xfId="275" applyFont="1" applyFill="1"/>
    <xf numFmtId="0" fontId="23" fillId="3" borderId="0" xfId="275" applyFont="1" applyFill="1" applyAlignment="1">
      <alignment horizontal="center"/>
    </xf>
    <xf numFmtId="0" fontId="23" fillId="0" borderId="0" xfId="214" applyFont="1" applyFill="1" applyAlignment="1">
      <alignment vertical="center"/>
    </xf>
    <xf numFmtId="0" fontId="23" fillId="3" borderId="0" xfId="214" applyFont="1" applyFill="1" applyAlignment="1">
      <alignment horizontal="center" vertical="center"/>
    </xf>
    <xf numFmtId="0" fontId="23" fillId="3" borderId="0" xfId="214" applyFont="1" applyFill="1" applyAlignment="1">
      <alignment horizontal="center"/>
    </xf>
    <xf numFmtId="0" fontId="28" fillId="0" borderId="2" xfId="214" applyFont="1" applyFill="1" applyBorder="1" applyAlignment="1">
      <alignment horizontal="center" vertical="center"/>
    </xf>
    <xf numFmtId="0" fontId="28" fillId="0" borderId="8" xfId="214" applyFont="1" applyFill="1" applyBorder="1" applyAlignment="1">
      <alignment horizontal="center" vertical="center"/>
    </xf>
    <xf numFmtId="0" fontId="19" fillId="3" borderId="1" xfId="219" applyFont="1" applyFill="1" applyBorder="1" applyAlignment="1">
      <alignment horizontal="center" vertical="center" wrapText="1"/>
    </xf>
    <xf numFmtId="176" fontId="29" fillId="3" borderId="1" xfId="214" applyNumberFormat="1" applyFont="1" applyFill="1" applyBorder="1" applyAlignment="1">
      <alignment horizontal="center" vertical="center"/>
    </xf>
    <xf numFmtId="0" fontId="23" fillId="0" borderId="1" xfId="275" applyFont="1" applyFill="1" applyBorder="1" applyAlignment="1">
      <alignment vertical="center" wrapText="1"/>
    </xf>
    <xf numFmtId="176" fontId="32" fillId="0" borderId="1" xfId="214" applyNumberFormat="1" applyFont="1" applyFill="1" applyBorder="1" applyAlignment="1">
      <alignment horizontal="center" vertical="center"/>
    </xf>
    <xf numFmtId="176" fontId="28" fillId="3" borderId="1" xfId="214" applyNumberFormat="1" applyFont="1" applyFill="1" applyBorder="1" applyAlignment="1">
      <alignment horizontal="center" vertical="center"/>
    </xf>
    <xf numFmtId="184" fontId="23" fillId="0" borderId="0" xfId="275" applyNumberFormat="1" applyFont="1" applyFill="1"/>
    <xf numFmtId="177" fontId="23" fillId="0" borderId="0" xfId="275" applyNumberFormat="1" applyFont="1" applyFill="1"/>
    <xf numFmtId="184" fontId="23" fillId="3" borderId="0" xfId="275" applyNumberFormat="1" applyFont="1" applyFill="1" applyAlignment="1">
      <alignment horizontal="center"/>
    </xf>
    <xf numFmtId="0" fontId="2" fillId="0" borderId="1" xfId="214" applyFont="1" applyFill="1" applyBorder="1" applyAlignment="1">
      <alignment vertical="center" wrapText="1"/>
    </xf>
    <xf numFmtId="176" fontId="28" fillId="0" borderId="1" xfId="214" applyNumberFormat="1" applyFont="1" applyFill="1" applyBorder="1" applyAlignment="1">
      <alignment horizontal="center" vertical="center" shrinkToFit="1"/>
    </xf>
    <xf numFmtId="184" fontId="4" fillId="0" borderId="0" xfId="275" applyNumberFormat="1" applyFont="1" applyFill="1" applyAlignment="1">
      <alignment vertical="center"/>
    </xf>
    <xf numFmtId="0" fontId="23" fillId="0" borderId="0" xfId="275" applyFill="1" applyAlignment="1">
      <alignment vertical="center" wrapText="1"/>
    </xf>
    <xf numFmtId="184" fontId="23" fillId="0" borderId="0" xfId="275" applyNumberFormat="1" applyFill="1" applyAlignment="1">
      <alignment vertical="center" wrapText="1"/>
    </xf>
    <xf numFmtId="176" fontId="23" fillId="0" borderId="0" xfId="275" applyNumberFormat="1" applyFill="1"/>
    <xf numFmtId="10" fontId="19" fillId="0" borderId="0" xfId="275" applyNumberFormat="1" applyFont="1" applyFill="1" applyAlignment="1">
      <alignment horizontal="center"/>
    </xf>
    <xf numFmtId="10" fontId="23" fillId="0" borderId="0" xfId="275" applyNumberFormat="1" applyFill="1"/>
    <xf numFmtId="185" fontId="23" fillId="0" borderId="0" xfId="274" applyNumberFormat="1" applyAlignment="1" applyProtection="1">
      <alignment vertical="center"/>
      <protection locked="0"/>
    </xf>
    <xf numFmtId="0" fontId="23" fillId="0" borderId="0" xfId="274" applyNumberFormat="1" applyFont="1" applyProtection="1">
      <protection locked="0"/>
    </xf>
    <xf numFmtId="185" fontId="23" fillId="0" borderId="0" xfId="274" applyNumberFormat="1" applyProtection="1">
      <protection locked="0"/>
    </xf>
    <xf numFmtId="185" fontId="23" fillId="0" borderId="0" xfId="274" applyNumberFormat="1" applyFill="1" applyProtection="1">
      <protection locked="0"/>
    </xf>
    <xf numFmtId="185" fontId="23" fillId="4" borderId="0" xfId="274" applyNumberFormat="1" applyFill="1" applyProtection="1">
      <protection locked="0"/>
    </xf>
    <xf numFmtId="0" fontId="23" fillId="0" borderId="0" xfId="274" applyNumberFormat="1" applyProtection="1">
      <protection locked="0"/>
    </xf>
    <xf numFmtId="185" fontId="17" fillId="0" borderId="0" xfId="274" applyNumberFormat="1" applyFont="1" applyFill="1" applyAlignment="1" applyProtection="1">
      <alignment vertical="center"/>
      <protection locked="0"/>
    </xf>
    <xf numFmtId="185" fontId="23" fillId="0" borderId="0" xfId="274" applyNumberFormat="1" applyFont="1" applyFill="1" applyAlignment="1" applyProtection="1">
      <alignment vertical="center"/>
      <protection locked="0"/>
    </xf>
    <xf numFmtId="185" fontId="23" fillId="4" borderId="0" xfId="274" applyNumberFormat="1" applyFont="1" applyFill="1" applyAlignment="1" applyProtection="1">
      <alignment vertical="center"/>
      <protection locked="0"/>
    </xf>
    <xf numFmtId="185" fontId="13" fillId="0" borderId="0" xfId="274" applyNumberFormat="1" applyFont="1" applyFill="1" applyAlignment="1" applyProtection="1">
      <alignment horizontal="center"/>
      <protection locked="0"/>
    </xf>
    <xf numFmtId="185" fontId="28" fillId="0" borderId="0" xfId="274" applyNumberFormat="1" applyFont="1" applyFill="1" applyProtection="1">
      <protection locked="0"/>
    </xf>
    <xf numFmtId="185" fontId="23" fillId="0" borderId="0" xfId="274" applyNumberFormat="1" applyFont="1" applyFill="1" applyProtection="1">
      <protection locked="0"/>
    </xf>
    <xf numFmtId="185" fontId="23" fillId="0" borderId="0" xfId="274" applyNumberFormat="1" applyFont="1" applyFill="1" applyBorder="1" applyProtection="1">
      <protection locked="0"/>
    </xf>
    <xf numFmtId="185" fontId="23" fillId="4" borderId="0" xfId="274" applyNumberFormat="1" applyFont="1" applyFill="1" applyProtection="1">
      <protection locked="0"/>
    </xf>
    <xf numFmtId="185" fontId="20" fillId="0" borderId="1" xfId="274" applyNumberFormat="1" applyFont="1" applyFill="1" applyBorder="1" applyAlignment="1" applyProtection="1">
      <alignment horizontal="center" vertical="center" wrapText="1"/>
      <protection locked="0"/>
    </xf>
    <xf numFmtId="0" fontId="20" fillId="0" borderId="10" xfId="274" applyNumberFormat="1" applyFont="1" applyFill="1" applyBorder="1" applyAlignment="1" applyProtection="1">
      <alignment horizontal="center" vertical="center" wrapText="1"/>
      <protection locked="0"/>
    </xf>
    <xf numFmtId="0" fontId="20" fillId="0" borderId="1" xfId="274" applyNumberFormat="1" applyFont="1" applyFill="1" applyBorder="1" applyAlignment="1" applyProtection="1">
      <alignment horizontal="center" vertical="center" wrapText="1"/>
      <protection locked="0"/>
    </xf>
    <xf numFmtId="0" fontId="20" fillId="4" borderId="10" xfId="274" applyNumberFormat="1" applyFont="1" applyFill="1" applyBorder="1" applyAlignment="1" applyProtection="1">
      <alignment horizontal="center" vertical="center" wrapText="1"/>
      <protection locked="0"/>
    </xf>
    <xf numFmtId="0" fontId="20" fillId="0" borderId="4" xfId="274" applyNumberFormat="1" applyFont="1" applyFill="1" applyBorder="1" applyAlignment="1" applyProtection="1">
      <alignment horizontal="center" vertical="center" wrapText="1"/>
      <protection locked="0"/>
    </xf>
    <xf numFmtId="0" fontId="20" fillId="4" borderId="4" xfId="274" applyNumberFormat="1" applyFont="1" applyFill="1" applyBorder="1" applyAlignment="1" applyProtection="1">
      <alignment horizontal="center" vertical="center" wrapText="1"/>
      <protection locked="0"/>
    </xf>
    <xf numFmtId="0" fontId="33" fillId="0" borderId="1" xfId="274" applyNumberFormat="1" applyFont="1" applyFill="1" applyBorder="1" applyAlignment="1" applyProtection="1">
      <alignment horizontal="center" vertical="center" shrinkToFit="1"/>
      <protection locked="0"/>
    </xf>
    <xf numFmtId="184" fontId="33" fillId="0" borderId="1" xfId="274" applyNumberFormat="1" applyFont="1" applyFill="1" applyBorder="1" applyAlignment="1" applyProtection="1">
      <alignment horizontal="center" vertical="center" shrinkToFit="1"/>
      <protection locked="0"/>
    </xf>
    <xf numFmtId="184" fontId="33" fillId="4" borderId="1" xfId="274" applyNumberFormat="1" applyFont="1" applyFill="1" applyBorder="1" applyAlignment="1" applyProtection="1">
      <alignment horizontal="center" vertical="center" shrinkToFit="1"/>
      <protection locked="0"/>
    </xf>
    <xf numFmtId="0" fontId="34" fillId="0" borderId="1" xfId="274" applyNumberFormat="1" applyFont="1" applyFill="1" applyBorder="1" applyAlignment="1" applyProtection="1">
      <alignment vertical="center" shrinkToFit="1"/>
      <protection locked="0"/>
    </xf>
    <xf numFmtId="184" fontId="34" fillId="0" borderId="1" xfId="136" applyNumberFormat="1" applyFont="1" applyFill="1" applyBorder="1" applyAlignment="1" applyProtection="1">
      <alignment horizontal="center" vertical="center" shrinkToFit="1"/>
    </xf>
    <xf numFmtId="184" fontId="34" fillId="0" borderId="1" xfId="274" applyNumberFormat="1" applyFont="1" applyFill="1" applyBorder="1" applyAlignment="1" applyProtection="1">
      <alignment horizontal="center" vertical="center" shrinkToFit="1"/>
    </xf>
    <xf numFmtId="184" fontId="34" fillId="4" borderId="1" xfId="274" applyNumberFormat="1" applyFont="1" applyFill="1" applyBorder="1" applyAlignment="1" applyProtection="1">
      <alignment horizontal="center" vertical="center" shrinkToFit="1"/>
    </xf>
    <xf numFmtId="0" fontId="34" fillId="0" borderId="1" xfId="274" applyNumberFormat="1" applyFont="1" applyFill="1" applyBorder="1" applyAlignment="1" applyProtection="1">
      <alignment horizontal="left" vertical="center" shrinkToFit="1"/>
      <protection locked="0"/>
    </xf>
    <xf numFmtId="186" fontId="34" fillId="0" borderId="1" xfId="136" applyNumberFormat="1" applyFont="1" applyFill="1" applyBorder="1" applyAlignment="1" applyProtection="1">
      <alignment horizontal="center" vertical="center" shrinkToFit="1"/>
    </xf>
    <xf numFmtId="184" fontId="34" fillId="0" borderId="1" xfId="274" applyNumberFormat="1" applyFont="1" applyFill="1" applyBorder="1" applyAlignment="1" applyProtection="1">
      <alignment horizontal="center" vertical="center" shrinkToFit="1"/>
      <protection locked="0"/>
    </xf>
    <xf numFmtId="186" fontId="34" fillId="0" borderId="1" xfId="274" applyNumberFormat="1" applyFont="1" applyFill="1" applyBorder="1" applyAlignment="1" applyProtection="1">
      <alignment horizontal="center" vertical="center" shrinkToFit="1"/>
      <protection locked="0"/>
    </xf>
    <xf numFmtId="0" fontId="23" fillId="0" borderId="0" xfId="274" applyNumberFormat="1" applyAlignment="1" applyProtection="1">
      <alignment vertical="center"/>
      <protection locked="0"/>
    </xf>
    <xf numFmtId="185" fontId="4" fillId="0" borderId="0" xfId="274" applyNumberFormat="1" applyFont="1" applyFill="1" applyAlignment="1" applyProtection="1">
      <alignment horizontal="right"/>
      <protection locked="0"/>
    </xf>
    <xf numFmtId="0" fontId="20" fillId="0" borderId="2" xfId="274" applyNumberFormat="1" applyFont="1" applyFill="1" applyBorder="1" applyAlignment="1" applyProtection="1">
      <alignment horizontal="center" vertical="center" wrapText="1"/>
      <protection locked="0"/>
    </xf>
    <xf numFmtId="0" fontId="20" fillId="0" borderId="8" xfId="274" applyNumberFormat="1" applyFont="1" applyFill="1" applyBorder="1" applyAlignment="1" applyProtection="1">
      <alignment horizontal="center" vertical="center" wrapText="1"/>
      <protection locked="0"/>
    </xf>
    <xf numFmtId="0" fontId="20" fillId="0" borderId="3" xfId="274" applyNumberFormat="1" applyFont="1" applyFill="1" applyBorder="1" applyAlignment="1" applyProtection="1">
      <alignment horizontal="center" vertical="center" wrapText="1"/>
      <protection locked="0"/>
    </xf>
    <xf numFmtId="184" fontId="23" fillId="0" borderId="0" xfId="274" applyNumberFormat="1" applyProtection="1">
      <protection locked="0"/>
    </xf>
    <xf numFmtId="40" fontId="23" fillId="0" borderId="1" xfId="274" applyNumberFormat="1" applyFont="1" applyFill="1" applyBorder="1" applyAlignment="1" applyProtection="1">
      <alignment horizontal="center"/>
      <protection locked="0"/>
    </xf>
    <xf numFmtId="10" fontId="23" fillId="0" borderId="0" xfId="274" applyNumberFormat="1" applyProtection="1">
      <protection locked="0"/>
    </xf>
    <xf numFmtId="40" fontId="34" fillId="0" borderId="1" xfId="274" applyNumberFormat="1" applyFont="1" applyFill="1" applyBorder="1" applyAlignment="1" applyProtection="1">
      <alignment horizontal="left" vertical="center" wrapText="1"/>
      <protection locked="0"/>
    </xf>
    <xf numFmtId="185" fontId="23" fillId="0" borderId="0" xfId="274" applyNumberFormat="1" applyFont="1" applyProtection="1">
      <protection locked="0"/>
    </xf>
  </cellXfs>
  <cellStyles count="315">
    <cellStyle name="常规" xfId="0" builtinId="0"/>
    <cellStyle name="货币[0]" xfId="1" builtinId="7"/>
    <cellStyle name="20% - 强调文字颜色 1 2" xfId="2"/>
    <cellStyle name="输出 3" xfId="3"/>
    <cellStyle name="20% - 强调文字颜色 3" xfId="4" builtinId="38"/>
    <cellStyle name="输入" xfId="5" builtinId="20"/>
    <cellStyle name="常规 2 2 4" xfId="6"/>
    <cellStyle name="货币" xfId="7" builtinId="4"/>
    <cellStyle name="千位分隔[0]" xfId="8" builtinId="6"/>
    <cellStyle name="计算 2" xfId="9"/>
    <cellStyle name="40% - 强调文字颜色 3" xfId="10" builtinId="39"/>
    <cellStyle name="差" xfId="11" builtinId="27"/>
    <cellStyle name="常规 7 3" xfId="12"/>
    <cellStyle name="千位分隔" xfId="13" builtinId="3"/>
    <cellStyle name="20% - 强调文字颜色 3 2 2" xfId="14"/>
    <cellStyle name="60% - 强调文字颜色 3" xfId="15" builtinId="40"/>
    <cellStyle name="超链接" xfId="16" builtinId="8"/>
    <cellStyle name="百分比" xfId="17" builtinId="5"/>
    <cellStyle name="输出 2 2 2" xfId="18"/>
    <cellStyle name="20% - 强调文字颜色 2 2 2" xfId="19"/>
    <cellStyle name="已访问的超链接" xfId="20" builtinId="9"/>
    <cellStyle name="常规 6" xfId="21"/>
    <cellStyle name="60% - 强调文字颜色 2 3" xfId="22"/>
    <cellStyle name="注释" xfId="23" builtinId="10"/>
    <cellStyle name="60% - 强调文字颜色 2" xfId="24" builtinId="36"/>
    <cellStyle name="解释性文本 2 2" xfId="25"/>
    <cellStyle name="标题 4" xfId="26" builtinId="19"/>
    <cellStyle name="警告文本" xfId="27" builtinId="11"/>
    <cellStyle name="常规 5 2" xfId="28"/>
    <cellStyle name="60% - 强调文字颜色 2 2 2" xfId="29"/>
    <cellStyle name="标题" xfId="30" builtinId="15"/>
    <cellStyle name="解释性文本" xfId="31" builtinId="53"/>
    <cellStyle name="标题 1" xfId="32" builtinId="16"/>
    <cellStyle name="常规 5 2 2" xfId="33"/>
    <cellStyle name="标题 2" xfId="34" builtinId="17"/>
    <cellStyle name="60% - 强调文字颜色 1" xfId="35" builtinId="32"/>
    <cellStyle name="标题 3" xfId="36" builtinId="18"/>
    <cellStyle name="60% - 强调文字颜色 4" xfId="37" builtinId="44"/>
    <cellStyle name="输出" xfId="38" builtinId="21"/>
    <cellStyle name="计算" xfId="39" builtinId="22"/>
    <cellStyle name="20% - 强调文字颜色 5 3" xfId="40"/>
    <cellStyle name="计算 3 2" xfId="41"/>
    <cellStyle name="40% - 强调文字颜色 4 2" xfId="42"/>
    <cellStyle name="检查单元格" xfId="43" builtinId="23"/>
    <cellStyle name="常规 8 3" xfId="44"/>
    <cellStyle name="20% - 强调文字颜色 6" xfId="45" builtinId="50"/>
    <cellStyle name="常规 2 2 2 5" xfId="46"/>
    <cellStyle name="强调文字颜色 2" xfId="47" builtinId="33"/>
    <cellStyle name="注释 2 3" xfId="48"/>
    <cellStyle name="链接单元格" xfId="49" builtinId="24"/>
    <cellStyle name="输出 2 3" xfId="50"/>
    <cellStyle name="20% - 强调文字颜色 2 3" xfId="51"/>
    <cellStyle name="汇总" xfId="52" builtinId="25"/>
    <cellStyle name="好" xfId="53" builtinId="26"/>
    <cellStyle name="适中" xfId="54" builtinId="28"/>
    <cellStyle name="20% - 强调文字颜色 3 3" xfId="55"/>
    <cellStyle name="常规 8 2" xfId="56"/>
    <cellStyle name="20% - 强调文字颜色 5" xfId="57" builtinId="46"/>
    <cellStyle name="常规 2 2 2 4" xfId="58"/>
    <cellStyle name="强调文字颜色 1" xfId="59" builtinId="29"/>
    <cellStyle name="链接单元格 3" xfId="60"/>
    <cellStyle name="20% - 强调文字颜色 1" xfId="61" builtinId="30"/>
    <cellStyle name="40% - 强调文字颜色 1" xfId="62" builtinId="31"/>
    <cellStyle name="输出 2" xfId="63"/>
    <cellStyle name="20% - 强调文字颜色 2" xfId="64" builtinId="34"/>
    <cellStyle name="40% - 强调文字颜色 2" xfId="65" builtinId="35"/>
    <cellStyle name="千位分隔[0] 2" xfId="66"/>
    <cellStyle name="常规 2 2 2 6" xfId="67"/>
    <cellStyle name="强调文字颜色 3" xfId="68" builtinId="37"/>
    <cellStyle name="常规 3 2" xfId="69"/>
    <cellStyle name="20% - 强调文字颜色 4 2 2" xfId="70"/>
    <cellStyle name="强调文字颜色 4" xfId="71" builtinId="41"/>
    <cellStyle name="20% - 强调文字颜色 1 3" xfId="72"/>
    <cellStyle name="20% - 强调文字颜色 4" xfId="73" builtinId="42"/>
    <cellStyle name="计算 3" xfId="74"/>
    <cellStyle name="40% - 强调文字颜色 4" xfId="75" builtinId="43"/>
    <cellStyle name="强调文字颜色 5" xfId="76" builtinId="45"/>
    <cellStyle name="40% - 强调文字颜色 5" xfId="77" builtinId="47"/>
    <cellStyle name="60% - 强调文字颜色 5" xfId="78" builtinId="48"/>
    <cellStyle name="强调文字颜色 6" xfId="79" builtinId="49"/>
    <cellStyle name="适中 2" xfId="80"/>
    <cellStyle name="40% - 强调文字颜色 6" xfId="81" builtinId="51"/>
    <cellStyle name="60% - 强调文字颜色 6" xfId="82" builtinId="52"/>
    <cellStyle name="输出 3 2" xfId="83"/>
    <cellStyle name="20% - 强调文字颜色 3 2" xfId="84"/>
    <cellStyle name="常规 2 3 2 3" xfId="85"/>
    <cellStyle name="20% - 强调文字颜色 1 2 2" xfId="86"/>
    <cellStyle name="输出 2 2" xfId="87"/>
    <cellStyle name="20% - 强调文字颜色 2 2" xfId="88"/>
    <cellStyle name="常规 3" xfId="89"/>
    <cellStyle name="20% - 强调文字颜色 4 2" xfId="90"/>
    <cellStyle name="常规 4" xfId="91"/>
    <cellStyle name="20% - 强调文字颜色 4 3" xfId="92"/>
    <cellStyle name="20% - 强调文字颜色 5 2" xfId="93"/>
    <cellStyle name="20% - 强调文字颜色 5 2 2" xfId="94"/>
    <cellStyle name="20% - 强调文字颜色 6 2" xfId="95"/>
    <cellStyle name="20% - 强调文字颜色 6 2 2" xfId="96"/>
    <cellStyle name="20% - 强调文字颜色 6 3" xfId="97"/>
    <cellStyle name="40% - 强调文字颜色 1 2" xfId="98"/>
    <cellStyle name="40% - 强调文字颜色 1 2 2" xfId="99"/>
    <cellStyle name="常规 9 2" xfId="100"/>
    <cellStyle name="40% - 强调文字颜色 1 3" xfId="101"/>
    <cellStyle name="常规 2 3 2 4" xfId="102"/>
    <cellStyle name="40% - 强调文字颜色 2 2" xfId="103"/>
    <cellStyle name="40% - 强调文字颜色 2 2 2" xfId="104"/>
    <cellStyle name="40% - 强调文字颜色 2 3" xfId="105"/>
    <cellStyle name="计算 2 2" xfId="106"/>
    <cellStyle name="常规 2 3 3 4" xfId="107"/>
    <cellStyle name="40% - 强调文字颜色 3 2" xfId="108"/>
    <cellStyle name="计算 2 2 2" xfId="109"/>
    <cellStyle name="40% - 强调文字颜色 3 2 2" xfId="110"/>
    <cellStyle name="计算 2 3" xfId="111"/>
    <cellStyle name="40% - 强调文字颜色 3 3" xfId="112"/>
    <cellStyle name="检查单元格 2" xfId="113"/>
    <cellStyle name="汇总 2 3" xfId="114"/>
    <cellStyle name="40% - 强调文字颜色 4 2 2" xfId="115"/>
    <cellStyle name="输入 2 2 2" xfId="116"/>
    <cellStyle name="40% - 强调文字颜色 4 3" xfId="117"/>
    <cellStyle name="40% - 强调文字颜色 5 2" xfId="118"/>
    <cellStyle name="60% - 强调文字颜色 4 3" xfId="119"/>
    <cellStyle name="40% - 强调文字颜色 5 2 2" xfId="120"/>
    <cellStyle name="40% - 强调文字颜色 5 3" xfId="121"/>
    <cellStyle name="适中 2 2" xfId="122"/>
    <cellStyle name="40% - 强调文字颜色 6 2" xfId="123"/>
    <cellStyle name="40% - 强调文字颜色 6 2 2" xfId="124"/>
    <cellStyle name="强调文字颜色 3 2 2" xfId="125"/>
    <cellStyle name="40% - 强调文字颜色 6 3" xfId="126"/>
    <cellStyle name="好_53F959C04E7B40FDA383BD435F224A26" xfId="127"/>
    <cellStyle name="60% - 强调文字颜色 1 2" xfId="128"/>
    <cellStyle name="好_53F959C04E7B40FDA383BD435F224A26 2" xfId="129"/>
    <cellStyle name="60% - 强调文字颜色 1 2 2" xfId="130"/>
    <cellStyle name="60% - 强调文字颜色 1 3" xfId="131"/>
    <cellStyle name="常规 5" xfId="132"/>
    <cellStyle name="60% - 强调文字颜色 2 2" xfId="133"/>
    <cellStyle name="60% - 强调文字颜色 3 2" xfId="134"/>
    <cellStyle name="60% - 强调文字颜色 3 2 2" xfId="135"/>
    <cellStyle name="常规_潮南区2015年财政预算收支明细表" xfId="136"/>
    <cellStyle name="60% - 强调文字颜色 3 3" xfId="137"/>
    <cellStyle name="60% - 强调文字颜色 4 2" xfId="138"/>
    <cellStyle name="60% - 强调文字颜色 4 2 2" xfId="139"/>
    <cellStyle name="60% - 强调文字颜色 5 2" xfId="140"/>
    <cellStyle name="60% - 强调文字颜色 5 2 2" xfId="141"/>
    <cellStyle name="60% - 强调文字颜色 5 3" xfId="142"/>
    <cellStyle name="60% - 强调文字颜色 6 2" xfId="143"/>
    <cellStyle name="60% - 强调文字颜色 6 2 2" xfId="144"/>
    <cellStyle name="60% - 强调文字颜色 6 3" xfId="145"/>
    <cellStyle name="常规 2" xfId="146"/>
    <cellStyle name="ColLevel_1" xfId="147"/>
    <cellStyle name="Normal" xfId="148"/>
    <cellStyle name="强调文字颜色 1 2" xfId="149"/>
    <cellStyle name="常规 2 2 2 4 2" xfId="150"/>
    <cellStyle name="RowLevel_1" xfId="151"/>
    <cellStyle name="常规 2 2 6" xfId="152"/>
    <cellStyle name="标题 1 2" xfId="153"/>
    <cellStyle name="常规 2 2 6 2" xfId="154"/>
    <cellStyle name="标题 1 2 2" xfId="155"/>
    <cellStyle name="常规 2 2 7" xfId="156"/>
    <cellStyle name="标题 1 3" xfId="157"/>
    <cellStyle name="常规 2 3 6" xfId="158"/>
    <cellStyle name="标题 2 2" xfId="159"/>
    <cellStyle name="标题 2 2 2" xfId="160"/>
    <cellStyle name="常规 2 3 7" xfId="161"/>
    <cellStyle name="标题 2 3" xfId="162"/>
    <cellStyle name="常规 2 2 2 2 4" xfId="163"/>
    <cellStyle name="标题 3 2" xfId="164"/>
    <cellStyle name="标题 3 2 2" xfId="165"/>
    <cellStyle name="标题 3 3" xfId="166"/>
    <cellStyle name="千位分隔 3" xfId="167"/>
    <cellStyle name="常规 2 2 2 3 4" xfId="168"/>
    <cellStyle name="标题 4 2" xfId="169"/>
    <cellStyle name="标题 4 2 2" xfId="170"/>
    <cellStyle name="汇总 2 2" xfId="171"/>
    <cellStyle name="标题 4 3" xfId="172"/>
    <cellStyle name="常规 2 3 2 3 2" xfId="173"/>
    <cellStyle name="标题 5" xfId="174"/>
    <cellStyle name="标题 5 2" xfId="175"/>
    <cellStyle name="标题 6" xfId="176"/>
    <cellStyle name="差 2" xfId="177"/>
    <cellStyle name="差 2 2" xfId="178"/>
    <cellStyle name="差 3" xfId="179"/>
    <cellStyle name="差_53F959C04E7B40FDA383BD435F224A26" xfId="180"/>
    <cellStyle name="常规 2 2 4 3" xfId="181"/>
    <cellStyle name="差_53F959C04E7B40FDA383BD435F224A26 2" xfId="182"/>
    <cellStyle name="常规 2 2 4 3 2" xfId="183"/>
    <cellStyle name="差_53F959C04E7B40FDA383BD435F224A26 2 2" xfId="184"/>
    <cellStyle name="差_CC0D306ED90642F2AFB786D90624FCF6" xfId="185"/>
    <cellStyle name="差_CC0D306ED90642F2AFB786D90624FCF6 2" xfId="186"/>
    <cellStyle name="好_潮南区2014年（9）月收支进度表" xfId="187"/>
    <cellStyle name="差_CC0D306ED90642F2AFB786D90624FCF6 2 2" xfId="188"/>
    <cellStyle name="差_潮南区2014年（9）月收支进度表" xfId="189"/>
    <cellStyle name="常规 16 2" xfId="190"/>
    <cellStyle name="常规 10" xfId="191"/>
    <cellStyle name="常规 10 2" xfId="192"/>
    <cellStyle name="常规 10 3" xfId="193"/>
    <cellStyle name="常规 11" xfId="194"/>
    <cellStyle name="常规 12" xfId="195"/>
    <cellStyle name="常规 12 2" xfId="196"/>
    <cellStyle name="常规 13" xfId="197"/>
    <cellStyle name="常规 14" xfId="198"/>
    <cellStyle name="常规 15" xfId="199"/>
    <cellStyle name="常规 16" xfId="200"/>
    <cellStyle name="常规 2 2" xfId="201"/>
    <cellStyle name="常规 2 2 2" xfId="202"/>
    <cellStyle name="常规 2 2 2 2" xfId="203"/>
    <cellStyle name="常规 2 2 2 2 2" xfId="204"/>
    <cellStyle name="常规 2 2 2 2 2 2" xfId="205"/>
    <cellStyle name="常规 2 2 2 2 3" xfId="206"/>
    <cellStyle name="常规 2 2 2 2 3 2" xfId="207"/>
    <cellStyle name="常规 2 2 2 3" xfId="208"/>
    <cellStyle name="常规 2 2 2 3 2" xfId="209"/>
    <cellStyle name="常规 2 2 2 3 2 2" xfId="210"/>
    <cellStyle name="千位分隔 2" xfId="211"/>
    <cellStyle name="常规 2 2 2 3 3" xfId="212"/>
    <cellStyle name="千位分隔 2 2" xfId="213"/>
    <cellStyle name="常规_Sheet1 2 3" xfId="214"/>
    <cellStyle name="常规 2 2 2 3 3 2" xfId="215"/>
    <cellStyle name="强调文字颜色 2 2" xfId="216"/>
    <cellStyle name="常规 2 2 2 5 2" xfId="217"/>
    <cellStyle name="常规 2 2 3" xfId="218"/>
    <cellStyle name="常规_Sheet1_潮南区2014年财政预算收支明细表（终 2" xfId="219"/>
    <cellStyle name="常规 2 2 3 2" xfId="220"/>
    <cellStyle name="常规 2 2 3 2 2" xfId="221"/>
    <cellStyle name="常规 2 2 3 3" xfId="222"/>
    <cellStyle name="常规 2 2 3 3 2" xfId="223"/>
    <cellStyle name="常规 2 2 3 4" xfId="224"/>
    <cellStyle name="常规 2 2 4 2" xfId="225"/>
    <cellStyle name="常规 2 2 4 2 2" xfId="226"/>
    <cellStyle name="常规 2 2 4 4" xfId="227"/>
    <cellStyle name="常规 2 2 5" xfId="228"/>
    <cellStyle name="常规 2 2 5 2" xfId="229"/>
    <cellStyle name="常规 2 2 8" xfId="230"/>
    <cellStyle name="输入 3 2" xfId="231"/>
    <cellStyle name="常规 2 3" xfId="232"/>
    <cellStyle name="常规 2 3 2" xfId="233"/>
    <cellStyle name="常规 2 3 2 2" xfId="234"/>
    <cellStyle name="常规 2 3 2 2 2" xfId="235"/>
    <cellStyle name="常规 2 3 3" xfId="236"/>
    <cellStyle name="常规 2 3 3 2" xfId="237"/>
    <cellStyle name="常规 2 3 3 2 2" xfId="238"/>
    <cellStyle name="常规 2 3 3 3" xfId="239"/>
    <cellStyle name="常规 2 3 3 3 2" xfId="240"/>
    <cellStyle name="常规 2 3 4" xfId="241"/>
    <cellStyle name="常规 2 3 4 2" xfId="242"/>
    <cellStyle name="常规 2 3 5" xfId="243"/>
    <cellStyle name="常规 2 3 5 2" xfId="244"/>
    <cellStyle name="常规 2 4" xfId="245"/>
    <cellStyle name="强调文字颜色 4 2" xfId="246"/>
    <cellStyle name="常规 2 5" xfId="247"/>
    <cellStyle name="强调文字颜色 4 2 2" xfId="248"/>
    <cellStyle name="常规 2 5 2" xfId="249"/>
    <cellStyle name="强调文字颜色 4 3" xfId="250"/>
    <cellStyle name="常规 2 6" xfId="251"/>
    <cellStyle name="常规 2 7" xfId="252"/>
    <cellStyle name="输入 2" xfId="253"/>
    <cellStyle name="常规 2 8" xfId="254"/>
    <cellStyle name="好 3" xfId="255"/>
    <cellStyle name="常规 2_澄海区--2016年   月置换债券使用台账" xfId="256"/>
    <cellStyle name="常规 3 2 2" xfId="257"/>
    <cellStyle name="常规 4 2" xfId="258"/>
    <cellStyle name="常规 4 3" xfId="259"/>
    <cellStyle name="常规 5 4" xfId="260"/>
    <cellStyle name="常规 4 3 2" xfId="261"/>
    <cellStyle name="常规 5 3" xfId="262"/>
    <cellStyle name="常规 5 3 2" xfId="263"/>
    <cellStyle name="常规 5 5" xfId="264"/>
    <cellStyle name="注释 2" xfId="265"/>
    <cellStyle name="常规 6 2" xfId="266"/>
    <cellStyle name="注释 3" xfId="267"/>
    <cellStyle name="常规 6 3" xfId="268"/>
    <cellStyle name="常规 7" xfId="269"/>
    <cellStyle name="常规 7 2" xfId="270"/>
    <cellStyle name="常规 8" xfId="271"/>
    <cellStyle name="常规 9" xfId="272"/>
    <cellStyle name="常规 9 3" xfId="273"/>
    <cellStyle name="常规_潮南区2014年财政预算收支明细表" xfId="274"/>
    <cellStyle name="常规_潮南区2015年财政预算收支明细表 2" xfId="275"/>
    <cellStyle name="好 2" xfId="276"/>
    <cellStyle name="好 2 2" xfId="277"/>
    <cellStyle name="好_53F959C04E7B40FDA383BD435F224A26 2 2" xfId="278"/>
    <cellStyle name="好_CC0D306ED90642F2AFB786D90624FCF6" xfId="279"/>
    <cellStyle name="好_CC0D306ED90642F2AFB786D90624FCF6 2" xfId="280"/>
    <cellStyle name="好_CC0D306ED90642F2AFB786D90624FCF6 2 2" xfId="281"/>
    <cellStyle name="汇总 2" xfId="282"/>
    <cellStyle name="汇总 2 2 2" xfId="283"/>
    <cellStyle name="汇总 3" xfId="284"/>
    <cellStyle name="汇总 3 2" xfId="285"/>
    <cellStyle name="检查单元格 2 2" xfId="286"/>
    <cellStyle name="检查单元格 3" xfId="287"/>
    <cellStyle name="解释性文本 2" xfId="288"/>
    <cellStyle name="解释性文本 3" xfId="289"/>
    <cellStyle name="警告文本 2" xfId="290"/>
    <cellStyle name="警告文本 2 2" xfId="291"/>
    <cellStyle name="警告文本 3" xfId="292"/>
    <cellStyle name="链接单元格 2" xfId="293"/>
    <cellStyle name="链接单元格 2 2" xfId="294"/>
    <cellStyle name="强调文字颜色 1 2 2" xfId="295"/>
    <cellStyle name="强调文字颜色 1 3" xfId="296"/>
    <cellStyle name="强调文字颜色 2 2 2" xfId="297"/>
    <cellStyle name="强调文字颜色 2 3" xfId="298"/>
    <cellStyle name="强调文字颜色 3 2" xfId="299"/>
    <cellStyle name="强调文字颜色 3 3" xfId="300"/>
    <cellStyle name="强调文字颜色 5 2" xfId="301"/>
    <cellStyle name="强调文字颜色 5 2 2" xfId="302"/>
    <cellStyle name="强调文字颜色 5 3" xfId="303"/>
    <cellStyle name="强调文字颜色 6 2" xfId="304"/>
    <cellStyle name="强调文字颜色 6 2 2" xfId="305"/>
    <cellStyle name="强调文字颜色 6 3" xfId="306"/>
    <cellStyle name="适中 3" xfId="307"/>
    <cellStyle name="输入 2 2" xfId="308"/>
    <cellStyle name="输入 2 3" xfId="309"/>
    <cellStyle name="输入 3" xfId="310"/>
    <cellStyle name="样式 1" xfId="311"/>
    <cellStyle name="注释 2 2" xfId="312"/>
    <cellStyle name="注释 2 2 2" xfId="313"/>
    <cellStyle name="注释 3 2" xfId="31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P28"/>
  <sheetViews>
    <sheetView showZeros="0" zoomScale="85" zoomScaleNormal="85" workbookViewId="0">
      <pane xSplit="1" ySplit="6" topLeftCell="B7" activePane="bottomRight" state="frozen"/>
      <selection/>
      <selection pane="topRight"/>
      <selection pane="bottomLeft"/>
      <selection pane="bottomRight" activeCell="Q15" sqref="Q15"/>
    </sheetView>
  </sheetViews>
  <sheetFormatPr defaultColWidth="9" defaultRowHeight="14.25"/>
  <cols>
    <col min="1" max="1" width="25" style="221" customWidth="1"/>
    <col min="2" max="4" width="13.25" style="221" customWidth="1"/>
    <col min="5" max="5" width="13.25" style="222" customWidth="1"/>
    <col min="6" max="7" width="12.625" style="223" hidden="1" customWidth="1"/>
    <col min="8" max="8" width="13.25" style="221" customWidth="1"/>
    <col min="9" max="9" width="12" style="221" customWidth="1"/>
    <col min="10" max="11" width="12" style="222" customWidth="1"/>
    <col min="12" max="12" width="29.75" style="221" customWidth="1"/>
    <col min="13" max="13" width="16.375" style="221" customWidth="1"/>
    <col min="14" max="14" width="15.125" style="224" customWidth="1"/>
    <col min="15" max="15" width="10.625" style="221" customWidth="1"/>
    <col min="16" max="16" width="15.875" style="224" customWidth="1"/>
    <col min="17" max="17" width="12.875" style="221" customWidth="1"/>
    <col min="18" max="16384" width="9" style="221"/>
  </cols>
  <sheetData>
    <row r="1" s="219" customFormat="1" ht="20.1" customHeight="1" spans="1:16">
      <c r="A1" s="225" t="s">
        <v>0</v>
      </c>
      <c r="B1" s="226"/>
      <c r="C1" s="226"/>
      <c r="D1" s="226"/>
      <c r="E1" s="226"/>
      <c r="F1" s="227"/>
      <c r="G1" s="227"/>
      <c r="H1" s="226"/>
      <c r="I1" s="226"/>
      <c r="J1" s="226"/>
      <c r="K1" s="226"/>
      <c r="L1" s="226"/>
      <c r="M1" s="226"/>
      <c r="N1" s="250"/>
      <c r="P1" s="250"/>
    </row>
    <row r="2" ht="26.25" customHeight="1" spans="1:13">
      <c r="A2" s="228" t="s">
        <v>1</v>
      </c>
      <c r="B2" s="228"/>
      <c r="C2" s="228"/>
      <c r="D2" s="228"/>
      <c r="E2" s="228"/>
      <c r="F2" s="228"/>
      <c r="G2" s="228"/>
      <c r="H2" s="228"/>
      <c r="I2" s="228"/>
      <c r="J2" s="228"/>
      <c r="K2" s="228"/>
      <c r="L2" s="228"/>
      <c r="M2" s="230"/>
    </row>
    <row r="3" ht="12.75" customHeight="1" spans="1:13">
      <c r="A3" s="229"/>
      <c r="B3" s="230"/>
      <c r="C3" s="231"/>
      <c r="D3" s="231"/>
      <c r="E3" s="230"/>
      <c r="F3" s="232"/>
      <c r="G3" s="232"/>
      <c r="H3" s="230"/>
      <c r="I3" s="230"/>
      <c r="J3" s="230"/>
      <c r="K3" s="230"/>
      <c r="L3" s="251" t="s">
        <v>2</v>
      </c>
      <c r="M3" s="230"/>
    </row>
    <row r="4" ht="23.1" customHeight="1" spans="1:13">
      <c r="A4" s="233" t="s">
        <v>3</v>
      </c>
      <c r="B4" s="233" t="s">
        <v>4</v>
      </c>
      <c r="C4" s="234" t="s">
        <v>5</v>
      </c>
      <c r="D4" s="235" t="s">
        <v>6</v>
      </c>
      <c r="E4" s="235" t="s">
        <v>7</v>
      </c>
      <c r="F4" s="236" t="s">
        <v>8</v>
      </c>
      <c r="G4" s="236" t="s">
        <v>9</v>
      </c>
      <c r="H4" s="235" t="s">
        <v>10</v>
      </c>
      <c r="I4" s="252" t="s">
        <v>11</v>
      </c>
      <c r="J4" s="253"/>
      <c r="K4" s="254"/>
      <c r="L4" s="235" t="s">
        <v>12</v>
      </c>
      <c r="M4" s="230"/>
    </row>
    <row r="5" ht="23.1" customHeight="1" spans="1:14">
      <c r="A5" s="233"/>
      <c r="B5" s="233"/>
      <c r="C5" s="237"/>
      <c r="D5" s="235"/>
      <c r="E5" s="235"/>
      <c r="F5" s="238"/>
      <c r="G5" s="238"/>
      <c r="H5" s="235"/>
      <c r="I5" s="235" t="s">
        <v>13</v>
      </c>
      <c r="J5" s="235" t="s">
        <v>14</v>
      </c>
      <c r="K5" s="235" t="s">
        <v>15</v>
      </c>
      <c r="L5" s="235"/>
      <c r="M5" s="230"/>
      <c r="N5" s="255"/>
    </row>
    <row r="6" ht="23.1" customHeight="1" spans="1:14">
      <c r="A6" s="239" t="s">
        <v>13</v>
      </c>
      <c r="B6" s="240">
        <f>SUM(B7:B28)</f>
        <v>302949.635058</v>
      </c>
      <c r="C6" s="240">
        <f t="shared" ref="C6:H6" si="0">SUM(C7:C28)</f>
        <v>247243.491005</v>
      </c>
      <c r="D6" s="240">
        <f t="shared" si="0"/>
        <v>55706.144053</v>
      </c>
      <c r="E6" s="240">
        <f t="shared" si="0"/>
        <v>29894.7260462846</v>
      </c>
      <c r="F6" s="241">
        <f t="shared" si="0"/>
        <v>15159.7260462846</v>
      </c>
      <c r="G6" s="241">
        <f t="shared" si="0"/>
        <v>14735</v>
      </c>
      <c r="H6" s="240">
        <f t="shared" si="0"/>
        <v>277138.217051285</v>
      </c>
      <c r="I6" s="240">
        <f>J6-K6</f>
        <v>-25785.4180067154</v>
      </c>
      <c r="J6" s="240">
        <f>SUM(J7:J27)</f>
        <v>13411.1517135858</v>
      </c>
      <c r="K6" s="240">
        <f>SUM(K7:K27)</f>
        <v>39196.5697203012</v>
      </c>
      <c r="L6" s="256"/>
      <c r="M6" s="230"/>
      <c r="N6" s="257">
        <f t="shared" ref="N6:N28" si="1">E6/C6</f>
        <v>0.120912085186825</v>
      </c>
    </row>
    <row r="7" ht="23.1" customHeight="1" spans="1:14">
      <c r="A7" s="242" t="s">
        <v>16</v>
      </c>
      <c r="B7" s="243">
        <v>53029.755953</v>
      </c>
      <c r="C7" s="244">
        <v>41417.870716</v>
      </c>
      <c r="D7" s="244">
        <f>B7-C7</f>
        <v>11611.885237</v>
      </c>
      <c r="E7" s="244">
        <f>F7+G7</f>
        <v>7725.7661973204</v>
      </c>
      <c r="F7" s="245">
        <f>C7*0.0619-2</f>
        <v>2561.7661973204</v>
      </c>
      <c r="G7" s="245">
        <v>5164</v>
      </c>
      <c r="H7" s="244">
        <f>C7+E7</f>
        <v>49143.6369133204</v>
      </c>
      <c r="I7" s="248">
        <f t="shared" ref="I7:I27" si="2">J7-K7</f>
        <v>-3886.11903967959</v>
      </c>
      <c r="J7" s="244">
        <f t="shared" ref="J7:J28" si="3">IF((H7-B7)&gt;0,(H7-B7),0)</f>
        <v>0</v>
      </c>
      <c r="K7" s="244">
        <f t="shared" ref="K7:K28" si="4">IF((B7-H7)&gt;0,(B7-H7),0)</f>
        <v>3886.11903967959</v>
      </c>
      <c r="L7" s="258"/>
      <c r="M7" s="230"/>
      <c r="N7" s="257">
        <f t="shared" si="1"/>
        <v>0.186532191630409</v>
      </c>
    </row>
    <row r="8" ht="23.1" customHeight="1" spans="1:14">
      <c r="A8" s="242" t="s">
        <v>17</v>
      </c>
      <c r="B8" s="243">
        <v>182.48</v>
      </c>
      <c r="C8" s="244">
        <v>115.7734</v>
      </c>
      <c r="D8" s="244">
        <f t="shared" ref="D8:D28" si="5">B8-C8</f>
        <v>66.7066</v>
      </c>
      <c r="E8" s="244">
        <f t="shared" ref="E8:E28" si="6">F8+G8</f>
        <v>34.16637346</v>
      </c>
      <c r="F8" s="245">
        <f t="shared" ref="F8:F12" si="7">C8*0.0619</f>
        <v>7.16637346</v>
      </c>
      <c r="G8" s="245">
        <v>27</v>
      </c>
      <c r="H8" s="244">
        <f t="shared" ref="H8:H28" si="8">C8+E8</f>
        <v>149.93977346</v>
      </c>
      <c r="I8" s="248">
        <f t="shared" si="2"/>
        <v>-32.54022654</v>
      </c>
      <c r="J8" s="244">
        <f t="shared" si="3"/>
        <v>0</v>
      </c>
      <c r="K8" s="244">
        <f t="shared" si="4"/>
        <v>32.54022654</v>
      </c>
      <c r="L8" s="258"/>
      <c r="M8" s="230"/>
      <c r="N8" s="257">
        <f t="shared" si="1"/>
        <v>0.295114192552002</v>
      </c>
    </row>
    <row r="9" ht="23.1" customHeight="1" spans="1:14">
      <c r="A9" s="242" t="s">
        <v>18</v>
      </c>
      <c r="B9" s="243">
        <v>23619.714116</v>
      </c>
      <c r="C9" s="244">
        <v>17284.686994</v>
      </c>
      <c r="D9" s="244">
        <f t="shared" si="5"/>
        <v>6335.027122</v>
      </c>
      <c r="E9" s="244">
        <f t="shared" si="6"/>
        <v>2966.9221249286</v>
      </c>
      <c r="F9" s="245">
        <f t="shared" si="7"/>
        <v>1069.9221249286</v>
      </c>
      <c r="G9" s="245">
        <f>3897-2000</f>
        <v>1897</v>
      </c>
      <c r="H9" s="244">
        <f t="shared" si="8"/>
        <v>20251.6091189286</v>
      </c>
      <c r="I9" s="248">
        <f t="shared" si="2"/>
        <v>-3368.1049970714</v>
      </c>
      <c r="J9" s="244">
        <f t="shared" si="3"/>
        <v>0</v>
      </c>
      <c r="K9" s="244">
        <f t="shared" si="4"/>
        <v>3368.1049970714</v>
      </c>
      <c r="L9" s="258"/>
      <c r="M9" s="230"/>
      <c r="N9" s="257">
        <f t="shared" si="1"/>
        <v>0.17165032412554</v>
      </c>
    </row>
    <row r="10" ht="23.1" customHeight="1" spans="1:14">
      <c r="A10" s="242" t="s">
        <v>19</v>
      </c>
      <c r="B10" s="243">
        <v>99044.452859</v>
      </c>
      <c r="C10" s="244">
        <v>87427.062102</v>
      </c>
      <c r="D10" s="244">
        <f t="shared" si="5"/>
        <v>11617.390757</v>
      </c>
      <c r="E10" s="244">
        <f t="shared" si="6"/>
        <v>7234.7351441138</v>
      </c>
      <c r="F10" s="245">
        <f t="shared" si="7"/>
        <v>5411.7351441138</v>
      </c>
      <c r="G10" s="245">
        <v>1823</v>
      </c>
      <c r="H10" s="244">
        <f t="shared" si="8"/>
        <v>94661.7972461138</v>
      </c>
      <c r="I10" s="248">
        <f t="shared" si="2"/>
        <v>-4382.65561288618</v>
      </c>
      <c r="J10" s="244">
        <f t="shared" si="3"/>
        <v>0</v>
      </c>
      <c r="K10" s="244">
        <f t="shared" si="4"/>
        <v>4382.65561288618</v>
      </c>
      <c r="L10" s="258"/>
      <c r="M10" s="230"/>
      <c r="N10" s="257">
        <f t="shared" si="1"/>
        <v>0.0827516671631163</v>
      </c>
    </row>
    <row r="11" ht="23.1" customHeight="1" spans="1:14">
      <c r="A11" s="242" t="s">
        <v>20</v>
      </c>
      <c r="B11" s="243">
        <v>604.026</v>
      </c>
      <c r="C11" s="244">
        <v>243.8954</v>
      </c>
      <c r="D11" s="244">
        <f t="shared" si="5"/>
        <v>360.1306</v>
      </c>
      <c r="E11" s="244">
        <f t="shared" si="6"/>
        <v>127.09712526</v>
      </c>
      <c r="F11" s="245">
        <f t="shared" si="7"/>
        <v>15.09712526</v>
      </c>
      <c r="G11" s="245">
        <v>112</v>
      </c>
      <c r="H11" s="244">
        <f t="shared" si="8"/>
        <v>370.99252526</v>
      </c>
      <c r="I11" s="248">
        <f t="shared" si="2"/>
        <v>-233.03347474</v>
      </c>
      <c r="J11" s="244">
        <f t="shared" si="3"/>
        <v>0</v>
      </c>
      <c r="K11" s="244">
        <f t="shared" si="4"/>
        <v>233.03347474</v>
      </c>
      <c r="L11" s="258"/>
      <c r="M11" s="230"/>
      <c r="N11" s="257">
        <f t="shared" si="1"/>
        <v>0.521113252894479</v>
      </c>
    </row>
    <row r="12" ht="23.1" customHeight="1" spans="1:14">
      <c r="A12" s="242" t="s">
        <v>21</v>
      </c>
      <c r="B12" s="243">
        <v>1116.7705</v>
      </c>
      <c r="C12" s="244">
        <v>9763.4033</v>
      </c>
      <c r="D12" s="244">
        <f t="shared" si="5"/>
        <v>-8646.6328</v>
      </c>
      <c r="E12" s="244">
        <f t="shared" si="6"/>
        <v>836.35466427</v>
      </c>
      <c r="F12" s="245">
        <f t="shared" si="7"/>
        <v>604.35466427</v>
      </c>
      <c r="G12" s="245">
        <v>232</v>
      </c>
      <c r="H12" s="244">
        <f t="shared" si="8"/>
        <v>10599.75796427</v>
      </c>
      <c r="I12" s="248">
        <f t="shared" si="2"/>
        <v>9482.98746427</v>
      </c>
      <c r="J12" s="244">
        <f t="shared" si="3"/>
        <v>9482.98746427</v>
      </c>
      <c r="K12" s="244">
        <f t="shared" si="4"/>
        <v>0</v>
      </c>
      <c r="L12" s="258"/>
      <c r="M12" s="230"/>
      <c r="N12" s="257">
        <f t="shared" si="1"/>
        <v>0.0856622059512793</v>
      </c>
    </row>
    <row r="13" s="220" customFormat="1" ht="23.1" customHeight="1" spans="1:15">
      <c r="A13" s="242" t="s">
        <v>22</v>
      </c>
      <c r="B13" s="243">
        <v>44061.628602</v>
      </c>
      <c r="C13" s="244">
        <v>42959.059834</v>
      </c>
      <c r="D13" s="244">
        <f t="shared" si="5"/>
        <v>1102.56876799999</v>
      </c>
      <c r="E13" s="244">
        <f t="shared" si="6"/>
        <v>4340.8698977412</v>
      </c>
      <c r="F13" s="245">
        <f>C13*0.0618</f>
        <v>2654.8698977412</v>
      </c>
      <c r="G13" s="245">
        <v>1686</v>
      </c>
      <c r="H13" s="244">
        <f t="shared" si="8"/>
        <v>47299.9297317412</v>
      </c>
      <c r="I13" s="248">
        <f t="shared" si="2"/>
        <v>3238.30112974121</v>
      </c>
      <c r="J13" s="244">
        <f t="shared" si="3"/>
        <v>3238.30112974121</v>
      </c>
      <c r="K13" s="244">
        <f t="shared" si="4"/>
        <v>0</v>
      </c>
      <c r="L13" s="258"/>
      <c r="M13" s="230"/>
      <c r="N13" s="257">
        <f t="shared" si="1"/>
        <v>0.101046668956792</v>
      </c>
      <c r="O13" s="259"/>
    </row>
    <row r="14" s="220" customFormat="1" ht="23.1" customHeight="1" spans="1:15">
      <c r="A14" s="242" t="s">
        <v>23</v>
      </c>
      <c r="B14" s="243">
        <v>15438.784157</v>
      </c>
      <c r="C14" s="244">
        <v>8136.820474</v>
      </c>
      <c r="D14" s="244">
        <f t="shared" si="5"/>
        <v>7301.963683</v>
      </c>
      <c r="E14" s="244">
        <f t="shared" si="6"/>
        <v>996.6691873406</v>
      </c>
      <c r="F14" s="245">
        <f>C14*0.0619</f>
        <v>503.6691873406</v>
      </c>
      <c r="G14" s="245">
        <f>1493-1000</f>
        <v>493</v>
      </c>
      <c r="H14" s="244">
        <f t="shared" si="8"/>
        <v>9133.4896613406</v>
      </c>
      <c r="I14" s="248">
        <f t="shared" si="2"/>
        <v>-6305.2944956594</v>
      </c>
      <c r="J14" s="244">
        <f t="shared" si="3"/>
        <v>0</v>
      </c>
      <c r="K14" s="244">
        <f t="shared" si="4"/>
        <v>6305.2944956594</v>
      </c>
      <c r="L14" s="258"/>
      <c r="M14" s="230"/>
      <c r="N14" s="257">
        <f t="shared" si="1"/>
        <v>0.12248877685397</v>
      </c>
      <c r="O14" s="259"/>
    </row>
    <row r="15" ht="23.1" customHeight="1" spans="1:14">
      <c r="A15" s="242" t="s">
        <v>24</v>
      </c>
      <c r="B15" s="243">
        <v>1555.166268</v>
      </c>
      <c r="C15" s="244">
        <v>1276.252188</v>
      </c>
      <c r="D15" s="244">
        <f t="shared" si="5"/>
        <v>278.91408</v>
      </c>
      <c r="E15" s="244">
        <f t="shared" si="6"/>
        <v>249.8723852184</v>
      </c>
      <c r="F15" s="245">
        <f t="shared" ref="F15:F23" si="9">C15*0.0618</f>
        <v>78.8723852184</v>
      </c>
      <c r="G15" s="245">
        <f>471-300</f>
        <v>171</v>
      </c>
      <c r="H15" s="244">
        <f t="shared" si="8"/>
        <v>1526.1245732184</v>
      </c>
      <c r="I15" s="248">
        <f t="shared" si="2"/>
        <v>-29.0416947816</v>
      </c>
      <c r="J15" s="244">
        <f t="shared" si="3"/>
        <v>0</v>
      </c>
      <c r="K15" s="244">
        <f t="shared" si="4"/>
        <v>29.0416947816</v>
      </c>
      <c r="L15" s="258"/>
      <c r="M15" s="230"/>
      <c r="N15" s="257">
        <f t="shared" si="1"/>
        <v>0.195786058247604</v>
      </c>
    </row>
    <row r="16" ht="23.1" customHeight="1" spans="1:14">
      <c r="A16" s="242" t="s">
        <v>25</v>
      </c>
      <c r="B16" s="243">
        <v>19816.485801</v>
      </c>
      <c r="C16" s="244">
        <v>11778.351757</v>
      </c>
      <c r="D16" s="244">
        <f t="shared" si="5"/>
        <v>8038.134044</v>
      </c>
      <c r="E16" s="244">
        <f t="shared" si="6"/>
        <v>2306.9021385826</v>
      </c>
      <c r="F16" s="245">
        <f t="shared" si="9"/>
        <v>727.9021385826</v>
      </c>
      <c r="G16" s="245">
        <v>1579</v>
      </c>
      <c r="H16" s="244">
        <f t="shared" si="8"/>
        <v>14085.2538955826</v>
      </c>
      <c r="I16" s="248">
        <f t="shared" si="2"/>
        <v>-5731.2319054174</v>
      </c>
      <c r="J16" s="244">
        <f t="shared" si="3"/>
        <v>0</v>
      </c>
      <c r="K16" s="244">
        <f t="shared" si="4"/>
        <v>5731.2319054174</v>
      </c>
      <c r="L16" s="258"/>
      <c r="M16" s="230"/>
      <c r="N16" s="257">
        <f t="shared" si="1"/>
        <v>0.195859504468576</v>
      </c>
    </row>
    <row r="17" ht="23.1" customHeight="1" spans="1:14">
      <c r="A17" s="242" t="s">
        <v>26</v>
      </c>
      <c r="B17" s="243">
        <v>8051.297898</v>
      </c>
      <c r="C17" s="244">
        <v>6757.073868</v>
      </c>
      <c r="D17" s="244">
        <f t="shared" si="5"/>
        <v>1294.22403</v>
      </c>
      <c r="E17" s="244">
        <f t="shared" si="6"/>
        <v>1184.5871650424</v>
      </c>
      <c r="F17" s="245">
        <f t="shared" si="9"/>
        <v>417.5871650424</v>
      </c>
      <c r="G17" s="245">
        <f>1267-500</f>
        <v>767</v>
      </c>
      <c r="H17" s="244">
        <f t="shared" si="8"/>
        <v>7941.6610330424</v>
      </c>
      <c r="I17" s="248">
        <f t="shared" si="2"/>
        <v>-109.636864957599</v>
      </c>
      <c r="J17" s="244">
        <f t="shared" si="3"/>
        <v>0</v>
      </c>
      <c r="K17" s="244">
        <f t="shared" si="4"/>
        <v>109.636864957599</v>
      </c>
      <c r="L17" s="258"/>
      <c r="M17" s="230"/>
      <c r="N17" s="257">
        <f t="shared" si="1"/>
        <v>0.175310672664442</v>
      </c>
    </row>
    <row r="18" ht="23.1" customHeight="1" spans="1:14">
      <c r="A18" s="246" t="s">
        <v>27</v>
      </c>
      <c r="B18" s="243">
        <v>1057.956</v>
      </c>
      <c r="C18" s="244">
        <v>1363.004687</v>
      </c>
      <c r="D18" s="244">
        <f t="shared" si="5"/>
        <v>-305.048687</v>
      </c>
      <c r="E18" s="244">
        <f t="shared" si="6"/>
        <v>273.2336896566</v>
      </c>
      <c r="F18" s="245">
        <f t="shared" si="9"/>
        <v>84.2336896566</v>
      </c>
      <c r="G18" s="245">
        <v>189</v>
      </c>
      <c r="H18" s="244">
        <f t="shared" si="8"/>
        <v>1636.2383766566</v>
      </c>
      <c r="I18" s="248">
        <f t="shared" si="2"/>
        <v>578.2823766566</v>
      </c>
      <c r="J18" s="244">
        <f t="shared" si="3"/>
        <v>578.2823766566</v>
      </c>
      <c r="K18" s="244">
        <f t="shared" si="4"/>
        <v>0</v>
      </c>
      <c r="L18" s="258"/>
      <c r="M18" s="230"/>
      <c r="N18" s="257">
        <f t="shared" si="1"/>
        <v>0.200464233368113</v>
      </c>
    </row>
    <row r="19" ht="23.1" customHeight="1" spans="1:14">
      <c r="A19" s="246" t="s">
        <v>28</v>
      </c>
      <c r="B19" s="247">
        <v>20</v>
      </c>
      <c r="C19" s="244">
        <v>6</v>
      </c>
      <c r="D19" s="244">
        <f t="shared" si="5"/>
        <v>14</v>
      </c>
      <c r="E19" s="244">
        <f t="shared" si="6"/>
        <v>20.3708</v>
      </c>
      <c r="F19" s="245">
        <f t="shared" si="9"/>
        <v>0.3708</v>
      </c>
      <c r="G19" s="245">
        <v>20</v>
      </c>
      <c r="H19" s="244">
        <f t="shared" si="8"/>
        <v>26.3708</v>
      </c>
      <c r="I19" s="248">
        <f t="shared" si="2"/>
        <v>6.3708</v>
      </c>
      <c r="J19" s="244">
        <f t="shared" si="3"/>
        <v>6.3708</v>
      </c>
      <c r="K19" s="244">
        <f t="shared" si="4"/>
        <v>0</v>
      </c>
      <c r="L19" s="258"/>
      <c r="M19" s="230"/>
      <c r="N19" s="257">
        <f t="shared" si="1"/>
        <v>3.39513333333333</v>
      </c>
    </row>
    <row r="20" ht="23.1" customHeight="1" spans="1:14">
      <c r="A20" s="242" t="s">
        <v>29</v>
      </c>
      <c r="B20" s="243">
        <v>251.108</v>
      </c>
      <c r="C20" s="244">
        <v>207.945</v>
      </c>
      <c r="D20" s="244">
        <f t="shared" si="5"/>
        <v>43.163</v>
      </c>
      <c r="E20" s="244">
        <f t="shared" si="6"/>
        <v>32.851001</v>
      </c>
      <c r="F20" s="245">
        <f t="shared" si="9"/>
        <v>12.851001</v>
      </c>
      <c r="G20" s="245">
        <v>20</v>
      </c>
      <c r="H20" s="244">
        <f t="shared" si="8"/>
        <v>240.796001</v>
      </c>
      <c r="I20" s="248">
        <f t="shared" si="2"/>
        <v>-10.311999</v>
      </c>
      <c r="J20" s="244">
        <f t="shared" si="3"/>
        <v>0</v>
      </c>
      <c r="K20" s="244">
        <f t="shared" si="4"/>
        <v>10.311999</v>
      </c>
      <c r="L20" s="258"/>
      <c r="M20" s="230"/>
      <c r="N20" s="257">
        <f t="shared" si="1"/>
        <v>0.157979278174517</v>
      </c>
    </row>
    <row r="21" ht="23.1" customHeight="1" spans="1:14">
      <c r="A21" s="242" t="s">
        <v>30</v>
      </c>
      <c r="B21" s="243">
        <v>1287.688</v>
      </c>
      <c r="C21" s="244">
        <v>1226.12351</v>
      </c>
      <c r="D21" s="244">
        <f t="shared" si="5"/>
        <v>61.5644900000002</v>
      </c>
      <c r="E21" s="244">
        <f t="shared" si="6"/>
        <v>166.774432918</v>
      </c>
      <c r="F21" s="245">
        <f t="shared" si="9"/>
        <v>75.774432918</v>
      </c>
      <c r="G21" s="245">
        <v>91</v>
      </c>
      <c r="H21" s="244">
        <f t="shared" si="8"/>
        <v>1392.897942918</v>
      </c>
      <c r="I21" s="248">
        <f t="shared" si="2"/>
        <v>105.209942918</v>
      </c>
      <c r="J21" s="244">
        <f t="shared" si="3"/>
        <v>105.209942918</v>
      </c>
      <c r="K21" s="244">
        <f t="shared" si="4"/>
        <v>0</v>
      </c>
      <c r="L21" s="258"/>
      <c r="M21" s="230"/>
      <c r="N21" s="257">
        <f t="shared" si="1"/>
        <v>0.136017645496415</v>
      </c>
    </row>
    <row r="22" ht="23.1" customHeight="1" spans="1:14">
      <c r="A22" s="242" t="s">
        <v>31</v>
      </c>
      <c r="B22" s="243">
        <v>15646.651904</v>
      </c>
      <c r="C22" s="244">
        <v>13102.5092</v>
      </c>
      <c r="D22" s="244">
        <f t="shared" si="5"/>
        <v>2544.142704</v>
      </c>
      <c r="E22" s="244">
        <f t="shared" si="6"/>
        <v>820.73506856</v>
      </c>
      <c r="F22" s="245">
        <f t="shared" si="9"/>
        <v>809.73506856</v>
      </c>
      <c r="G22" s="245">
        <v>11</v>
      </c>
      <c r="H22" s="244">
        <f t="shared" si="8"/>
        <v>13923.24426856</v>
      </c>
      <c r="I22" s="248">
        <f t="shared" si="2"/>
        <v>-1723.40763544</v>
      </c>
      <c r="J22" s="244">
        <f t="shared" si="3"/>
        <v>0</v>
      </c>
      <c r="K22" s="244">
        <f t="shared" si="4"/>
        <v>1723.40763544</v>
      </c>
      <c r="L22" s="258"/>
      <c r="M22" s="230"/>
      <c r="N22" s="257">
        <f t="shared" si="1"/>
        <v>0.0626395338505086</v>
      </c>
    </row>
    <row r="23" ht="23.1" customHeight="1" spans="1:14">
      <c r="A23" s="242" t="s">
        <v>32</v>
      </c>
      <c r="B23" s="243">
        <v>1125.868</v>
      </c>
      <c r="C23" s="244">
        <v>927.73</v>
      </c>
      <c r="D23" s="244">
        <f t="shared" si="5"/>
        <v>198.138</v>
      </c>
      <c r="E23" s="244">
        <f t="shared" si="6"/>
        <v>179.333714</v>
      </c>
      <c r="F23" s="245">
        <f t="shared" si="9"/>
        <v>57.333714</v>
      </c>
      <c r="G23" s="245">
        <v>122</v>
      </c>
      <c r="H23" s="244">
        <f t="shared" si="8"/>
        <v>1107.063714</v>
      </c>
      <c r="I23" s="248">
        <f t="shared" si="2"/>
        <v>-18.804286</v>
      </c>
      <c r="J23" s="244">
        <f t="shared" si="3"/>
        <v>0</v>
      </c>
      <c r="K23" s="244">
        <f t="shared" si="4"/>
        <v>18.804286</v>
      </c>
      <c r="L23" s="258"/>
      <c r="M23" s="230"/>
      <c r="N23" s="257">
        <f t="shared" si="1"/>
        <v>0.193303778038869</v>
      </c>
    </row>
    <row r="24" ht="23.1" customHeight="1" spans="1:14">
      <c r="A24" s="242" t="s">
        <v>33</v>
      </c>
      <c r="B24" s="243">
        <v>1351.106</v>
      </c>
      <c r="C24" s="244">
        <v>1075.80804</v>
      </c>
      <c r="D24" s="244">
        <f t="shared" si="5"/>
        <v>275.29796</v>
      </c>
      <c r="E24" s="244">
        <f t="shared" si="6"/>
        <v>88.484936872</v>
      </c>
      <c r="F24" s="245">
        <f t="shared" ref="F24" si="10">C24*0.0618</f>
        <v>66.484936872</v>
      </c>
      <c r="G24" s="245">
        <v>22</v>
      </c>
      <c r="H24" s="244">
        <f t="shared" si="8"/>
        <v>1164.292976872</v>
      </c>
      <c r="I24" s="248"/>
      <c r="J24" s="244">
        <f t="shared" si="3"/>
        <v>0</v>
      </c>
      <c r="K24" s="244">
        <f t="shared" si="4"/>
        <v>186.813023128</v>
      </c>
      <c r="L24" s="258"/>
      <c r="M24" s="230"/>
      <c r="N24" s="257">
        <f t="shared" si="1"/>
        <v>0.0822497449191772</v>
      </c>
    </row>
    <row r="25" ht="32.1" customHeight="1" spans="1:14">
      <c r="A25" s="242" t="s">
        <v>34</v>
      </c>
      <c r="B25" s="248">
        <v>12258.695</v>
      </c>
      <c r="C25" s="244">
        <v>411.21424</v>
      </c>
      <c r="D25" s="244">
        <f t="shared" si="5"/>
        <v>11847.48076</v>
      </c>
      <c r="E25" s="244">
        <f t="shared" si="6"/>
        <v>85</v>
      </c>
      <c r="F25" s="245"/>
      <c r="G25" s="245">
        <f>335-250</f>
        <v>85</v>
      </c>
      <c r="H25" s="244">
        <f t="shared" si="8"/>
        <v>496.21424</v>
      </c>
      <c r="I25" s="248">
        <f t="shared" si="2"/>
        <v>-11762.48076</v>
      </c>
      <c r="J25" s="244">
        <f t="shared" si="3"/>
        <v>0</v>
      </c>
      <c r="K25" s="244">
        <f t="shared" si="4"/>
        <v>11762.48076</v>
      </c>
      <c r="L25" s="258" t="s">
        <v>35</v>
      </c>
      <c r="M25" s="230"/>
      <c r="N25" s="257">
        <f t="shared" si="1"/>
        <v>0.206704903993597</v>
      </c>
    </row>
    <row r="26" ht="23.1" customHeight="1" spans="1:14">
      <c r="A26" s="242" t="s">
        <v>36</v>
      </c>
      <c r="B26" s="248">
        <v>1050</v>
      </c>
      <c r="C26" s="244"/>
      <c r="D26" s="244">
        <f t="shared" si="5"/>
        <v>1050</v>
      </c>
      <c r="E26" s="244">
        <f t="shared" si="6"/>
        <v>0</v>
      </c>
      <c r="F26" s="245"/>
      <c r="G26" s="245"/>
      <c r="H26" s="244">
        <f t="shared" si="8"/>
        <v>0</v>
      </c>
      <c r="I26" s="248"/>
      <c r="J26" s="244">
        <f t="shared" si="3"/>
        <v>0</v>
      </c>
      <c r="K26" s="244">
        <f t="shared" si="4"/>
        <v>1050</v>
      </c>
      <c r="L26" s="258"/>
      <c r="M26" s="230"/>
      <c r="N26" s="257" t="e">
        <f t="shared" si="1"/>
        <v>#DIV/0!</v>
      </c>
    </row>
    <row r="27" ht="23.1" customHeight="1" spans="1:16">
      <c r="A27" s="242" t="s">
        <v>37</v>
      </c>
      <c r="B27" s="249">
        <v>2340</v>
      </c>
      <c r="C27" s="244">
        <v>1751.906295</v>
      </c>
      <c r="D27" s="244">
        <f t="shared" si="5"/>
        <v>588.093705</v>
      </c>
      <c r="E27" s="244">
        <f t="shared" si="6"/>
        <v>221</v>
      </c>
      <c r="F27" s="245"/>
      <c r="G27" s="245">
        <v>221</v>
      </c>
      <c r="H27" s="244">
        <f t="shared" si="8"/>
        <v>1972.906295</v>
      </c>
      <c r="I27" s="248">
        <f t="shared" si="2"/>
        <v>-367.093705</v>
      </c>
      <c r="J27" s="244">
        <f t="shared" si="3"/>
        <v>0</v>
      </c>
      <c r="K27" s="244">
        <f t="shared" si="4"/>
        <v>367.093705</v>
      </c>
      <c r="L27" s="258"/>
      <c r="M27" s="230"/>
      <c r="N27" s="257">
        <f t="shared" si="1"/>
        <v>0.126148299501373</v>
      </c>
      <c r="P27" s="224">
        <v>0</v>
      </c>
    </row>
    <row r="28" ht="23.1" customHeight="1" spans="1:14">
      <c r="A28" s="242" t="s">
        <v>38</v>
      </c>
      <c r="B28" s="249">
        <v>40</v>
      </c>
      <c r="C28" s="244">
        <v>11</v>
      </c>
      <c r="D28" s="244">
        <f t="shared" si="5"/>
        <v>29</v>
      </c>
      <c r="E28" s="244">
        <f t="shared" si="6"/>
        <v>3</v>
      </c>
      <c r="F28" s="245"/>
      <c r="G28" s="245">
        <v>3</v>
      </c>
      <c r="H28" s="244">
        <f t="shared" si="8"/>
        <v>14</v>
      </c>
      <c r="I28" s="248"/>
      <c r="J28" s="244">
        <f t="shared" si="3"/>
        <v>0</v>
      </c>
      <c r="K28" s="244">
        <f t="shared" si="4"/>
        <v>26</v>
      </c>
      <c r="L28" s="258"/>
      <c r="M28" s="230"/>
      <c r="N28" s="257">
        <f t="shared" si="1"/>
        <v>0.272727272727273</v>
      </c>
    </row>
  </sheetData>
  <mergeCells count="11">
    <mergeCell ref="A2:L2"/>
    <mergeCell ref="I4:K4"/>
    <mergeCell ref="A4:A5"/>
    <mergeCell ref="B4:B5"/>
    <mergeCell ref="C4:C5"/>
    <mergeCell ref="D4:D5"/>
    <mergeCell ref="E4:E5"/>
    <mergeCell ref="F4:F5"/>
    <mergeCell ref="G4:G5"/>
    <mergeCell ref="H4:H5"/>
    <mergeCell ref="L4:L5"/>
  </mergeCells>
  <printOptions horizontalCentered="1"/>
  <pageMargins left="0.393700787401575" right="0.393700787401575" top="0.393700787401575" bottom="0.393700787401575" header="0.15748031496063" footer="0.196850393700787"/>
  <pageSetup paperSize="9" scale="83" fitToHeight="0" orientation="landscape"/>
  <headerFooter alignWithMargins="0">
    <oddFooter>&amp;C&amp;"宋体,常规"&amp;10第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AC53"/>
  <sheetViews>
    <sheetView showZeros="0" tabSelected="1" zoomScale="70" zoomScaleNormal="70" workbookViewId="0">
      <pane ySplit="5" topLeftCell="A16" activePane="bottomLeft" state="frozen"/>
      <selection/>
      <selection pane="bottomLeft" activeCell="A1" sqref="A$1:A$1048576"/>
    </sheetView>
  </sheetViews>
  <sheetFormatPr defaultColWidth="9" defaultRowHeight="14.25"/>
  <cols>
    <col min="1" max="1" width="35.375" style="174" customWidth="1"/>
    <col min="2" max="2" width="13.625" style="196" customWidth="1"/>
    <col min="3" max="3" width="13.75" style="196" hidden="1" customWidth="1"/>
    <col min="4" max="4" width="12.75" style="196" hidden="1" customWidth="1"/>
    <col min="5" max="6" width="13.625" style="196" customWidth="1"/>
    <col min="7" max="7" width="13.625" style="197" customWidth="1"/>
    <col min="8" max="8" width="10.875" style="196" customWidth="1"/>
    <col min="9" max="10" width="13.75" style="196" hidden="1" customWidth="1"/>
    <col min="11" max="11" width="10.875" style="196" customWidth="1"/>
    <col min="12" max="12" width="38.125" style="174" customWidth="1"/>
    <col min="13" max="13" width="13.625" style="174" customWidth="1"/>
    <col min="14" max="14" width="13.75" style="174" hidden="1" customWidth="1"/>
    <col min="15" max="15" width="11.625" style="174" hidden="1" customWidth="1"/>
    <col min="16" max="18" width="13.625" style="174" customWidth="1"/>
    <col min="19" max="19" width="10.875" style="174" customWidth="1"/>
    <col min="20" max="21" width="13.75" style="174" hidden="1" customWidth="1"/>
    <col min="22" max="22" width="10.875" style="174" customWidth="1"/>
    <col min="23" max="23" width="7.5" style="174" customWidth="1"/>
    <col min="24" max="24" width="39.625" style="174" customWidth="1"/>
    <col min="25" max="25" width="14.125" style="174" customWidth="1"/>
    <col min="26" max="26" width="12.625" style="174" customWidth="1"/>
    <col min="27" max="27" width="17" style="174" customWidth="1"/>
    <col min="28" max="28" width="14.75" style="174" customWidth="1"/>
    <col min="29" max="16384" width="9" style="174"/>
  </cols>
  <sheetData>
    <row r="1" s="195" customFormat="1" ht="20.1" customHeight="1" spans="1:22">
      <c r="A1" s="175" t="s">
        <v>39</v>
      </c>
      <c r="B1" s="198"/>
      <c r="C1" s="198"/>
      <c r="D1" s="198"/>
      <c r="E1" s="198"/>
      <c r="F1" s="198"/>
      <c r="G1" s="199"/>
      <c r="H1" s="198"/>
      <c r="I1" s="198"/>
      <c r="J1" s="198"/>
      <c r="K1" s="198"/>
      <c r="L1" s="198"/>
      <c r="M1" s="198"/>
      <c r="N1" s="198"/>
      <c r="O1" s="198"/>
      <c r="P1" s="198"/>
      <c r="Q1" s="198"/>
      <c r="R1" s="198"/>
      <c r="S1" s="198"/>
      <c r="T1" s="198"/>
      <c r="U1" s="198"/>
      <c r="V1" s="198"/>
    </row>
    <row r="2" ht="26.25" customHeight="1" spans="1:22">
      <c r="A2" s="177" t="s">
        <v>40</v>
      </c>
      <c r="B2" s="177"/>
      <c r="C2" s="177"/>
      <c r="D2" s="177"/>
      <c r="E2" s="177"/>
      <c r="F2" s="177"/>
      <c r="G2" s="177"/>
      <c r="H2" s="177"/>
      <c r="I2" s="177"/>
      <c r="J2" s="177"/>
      <c r="K2" s="177"/>
      <c r="L2" s="177"/>
      <c r="M2" s="177"/>
      <c r="N2" s="177"/>
      <c r="O2" s="177"/>
      <c r="P2" s="177"/>
      <c r="Q2" s="177"/>
      <c r="R2" s="177"/>
      <c r="S2" s="177"/>
      <c r="T2" s="177"/>
      <c r="U2" s="177"/>
      <c r="V2" s="177"/>
    </row>
    <row r="3" ht="18.75" customHeight="1" spans="1:22">
      <c r="A3" s="176"/>
      <c r="B3" s="176"/>
      <c r="C3" s="176"/>
      <c r="D3" s="176"/>
      <c r="E3" s="176"/>
      <c r="F3" s="176"/>
      <c r="G3" s="200"/>
      <c r="H3" s="176"/>
      <c r="I3" s="176"/>
      <c r="J3" s="176"/>
      <c r="K3" s="176"/>
      <c r="L3" s="176"/>
      <c r="M3" s="194" t="s">
        <v>2</v>
      </c>
      <c r="N3" s="194"/>
      <c r="O3" s="194"/>
      <c r="P3" s="194"/>
      <c r="Q3" s="194"/>
      <c r="R3" s="194"/>
      <c r="S3" s="194"/>
      <c r="T3" s="194"/>
      <c r="U3" s="194"/>
      <c r="V3" s="194"/>
    </row>
    <row r="4" ht="30" customHeight="1" spans="1:22">
      <c r="A4" s="201" t="s">
        <v>41</v>
      </c>
      <c r="B4" s="202"/>
      <c r="C4" s="202"/>
      <c r="D4" s="202"/>
      <c r="E4" s="202"/>
      <c r="F4" s="202"/>
      <c r="G4" s="202"/>
      <c r="H4" s="202"/>
      <c r="I4" s="202"/>
      <c r="J4" s="202"/>
      <c r="K4" s="202"/>
      <c r="L4" s="178" t="s">
        <v>42</v>
      </c>
      <c r="M4" s="178"/>
      <c r="N4" s="178"/>
      <c r="O4" s="178"/>
      <c r="P4" s="178"/>
      <c r="Q4" s="178"/>
      <c r="R4" s="178"/>
      <c r="S4" s="178"/>
      <c r="T4" s="178"/>
      <c r="U4" s="178"/>
      <c r="V4" s="178"/>
    </row>
    <row r="5" ht="39.95" customHeight="1" spans="1:25">
      <c r="A5" s="179" t="s">
        <v>43</v>
      </c>
      <c r="B5" s="180" t="s">
        <v>44</v>
      </c>
      <c r="C5" s="180" t="s">
        <v>45</v>
      </c>
      <c r="D5" s="180" t="s">
        <v>5</v>
      </c>
      <c r="E5" s="180" t="s">
        <v>46</v>
      </c>
      <c r="F5" s="180" t="s">
        <v>47</v>
      </c>
      <c r="G5" s="203" t="s">
        <v>48</v>
      </c>
      <c r="H5" s="180" t="s">
        <v>49</v>
      </c>
      <c r="I5" s="180" t="s">
        <v>50</v>
      </c>
      <c r="J5" s="180" t="s">
        <v>51</v>
      </c>
      <c r="K5" s="180" t="s">
        <v>52</v>
      </c>
      <c r="L5" s="187" t="s">
        <v>43</v>
      </c>
      <c r="M5" s="180" t="s">
        <v>44</v>
      </c>
      <c r="N5" s="180" t="s">
        <v>45</v>
      </c>
      <c r="O5" s="180" t="s">
        <v>5</v>
      </c>
      <c r="P5" s="180" t="s">
        <v>46</v>
      </c>
      <c r="Q5" s="180" t="s">
        <v>47</v>
      </c>
      <c r="R5" s="180" t="s">
        <v>48</v>
      </c>
      <c r="S5" s="180" t="s">
        <v>49</v>
      </c>
      <c r="T5" s="180" t="s">
        <v>50</v>
      </c>
      <c r="U5" s="180" t="s">
        <v>51</v>
      </c>
      <c r="V5" s="180" t="s">
        <v>52</v>
      </c>
      <c r="X5" s="188"/>
      <c r="Y5" s="188"/>
    </row>
    <row r="6" ht="23.1" customHeight="1" spans="1:28">
      <c r="A6" s="181" t="s">
        <v>53</v>
      </c>
      <c r="B6" s="182">
        <f>B7+B8</f>
        <v>115035</v>
      </c>
      <c r="C6" s="182">
        <v>108466</v>
      </c>
      <c r="D6" s="182">
        <f t="shared" ref="D6" si="0">D7+D8</f>
        <v>98317</v>
      </c>
      <c r="E6" s="182">
        <v>115035</v>
      </c>
      <c r="F6" s="182">
        <f>F7+F8</f>
        <v>107252</v>
      </c>
      <c r="G6" s="204">
        <f>G7+G8</f>
        <v>108829.67</v>
      </c>
      <c r="H6" s="183">
        <f>(G6-F6)/F6</f>
        <v>0.0147099354790586</v>
      </c>
      <c r="I6" s="183">
        <f>(G6-C6)/C6</f>
        <v>0.00335284789703684</v>
      </c>
      <c r="J6" s="192">
        <f>G6-C6</f>
        <v>363.669999999998</v>
      </c>
      <c r="K6" s="182">
        <f t="shared" ref="K6:K14" si="1">G6-F6</f>
        <v>1577.67</v>
      </c>
      <c r="L6" s="184" t="s">
        <v>54</v>
      </c>
      <c r="M6" s="182">
        <f>M7+M15</f>
        <v>302950</v>
      </c>
      <c r="N6" s="182">
        <v>286109</v>
      </c>
      <c r="O6" s="182">
        <f t="shared" ref="O6" si="2">O7+O15</f>
        <v>247241</v>
      </c>
      <c r="P6" s="182">
        <v>302950</v>
      </c>
      <c r="Q6" s="182">
        <f>Q7+Q15</f>
        <v>277138</v>
      </c>
      <c r="R6" s="182">
        <f>R7+R15</f>
        <v>277914</v>
      </c>
      <c r="S6" s="183">
        <f>(R6-Q6)/Q6</f>
        <v>0.00280004907302499</v>
      </c>
      <c r="T6" s="183">
        <f>(R6-N6)/N6</f>
        <v>-0.0286429297924917</v>
      </c>
      <c r="U6" s="192">
        <f>R6-N6</f>
        <v>-8195</v>
      </c>
      <c r="V6" s="182">
        <f>R6-Q6</f>
        <v>776</v>
      </c>
      <c r="X6" s="188"/>
      <c r="AB6" s="188"/>
    </row>
    <row r="7" ht="23.1" customHeight="1" spans="1:24">
      <c r="A7" s="184" t="s">
        <v>55</v>
      </c>
      <c r="B7" s="182">
        <v>88573</v>
      </c>
      <c r="C7" s="182">
        <v>80521</v>
      </c>
      <c r="D7" s="182">
        <v>68465</v>
      </c>
      <c r="E7" s="182">
        <v>88573</v>
      </c>
      <c r="F7" s="182">
        <v>76300</v>
      </c>
      <c r="G7" s="204">
        <v>76316.67</v>
      </c>
      <c r="H7" s="183">
        <f t="shared" ref="H7:H35" si="3">(G7-F7)/F7</f>
        <v>0.00021847968545214</v>
      </c>
      <c r="I7" s="183">
        <f t="shared" ref="I7:I35" si="4">(G7-C7)/C7</f>
        <v>-0.0522140807987979</v>
      </c>
      <c r="J7" s="192">
        <f t="shared" ref="J7:J25" si="5">G7-C7</f>
        <v>-4204.33</v>
      </c>
      <c r="K7" s="182">
        <f t="shared" si="1"/>
        <v>16.6699999999983</v>
      </c>
      <c r="L7" s="184" t="s">
        <v>56</v>
      </c>
      <c r="M7" s="182">
        <f>M8+M12+M13+M14</f>
        <v>202293</v>
      </c>
      <c r="N7" s="182">
        <v>186358</v>
      </c>
      <c r="O7" s="182">
        <f t="shared" ref="O7" si="6">O8+O12+O13+O14</f>
        <v>189523</v>
      </c>
      <c r="P7" s="182">
        <v>202293</v>
      </c>
      <c r="Q7" s="182">
        <f>Q8+Q12+Q13+Q14</f>
        <v>204685</v>
      </c>
      <c r="R7" s="182">
        <f>R8+R12+R13+R14</f>
        <v>206264</v>
      </c>
      <c r="S7" s="183">
        <f t="shared" ref="S7:S34" si="7">(R7-Q7)/Q7</f>
        <v>0.00771429269365122</v>
      </c>
      <c r="T7" s="183">
        <f t="shared" ref="T7:T35" si="8">(R7-N7)/N7</f>
        <v>0.106815913456895</v>
      </c>
      <c r="U7" s="192">
        <f t="shared" ref="U7:U35" si="9">R7-N7</f>
        <v>19906</v>
      </c>
      <c r="V7" s="182">
        <f t="shared" ref="V7:V35" si="10">R7-Q7</f>
        <v>1579</v>
      </c>
      <c r="X7" s="188"/>
    </row>
    <row r="8" ht="33.95" customHeight="1" spans="1:26">
      <c r="A8" s="184" t="s">
        <v>57</v>
      </c>
      <c r="B8" s="182">
        <f t="shared" ref="B8:G8" si="11">B9+B10</f>
        <v>26462</v>
      </c>
      <c r="C8" s="182">
        <f t="shared" si="11"/>
        <v>27945</v>
      </c>
      <c r="D8" s="182">
        <f t="shared" si="11"/>
        <v>29852</v>
      </c>
      <c r="E8" s="182">
        <f t="shared" si="11"/>
        <v>26462</v>
      </c>
      <c r="F8" s="182">
        <f t="shared" si="11"/>
        <v>30952</v>
      </c>
      <c r="G8" s="204">
        <f t="shared" si="11"/>
        <v>32513</v>
      </c>
      <c r="H8" s="183">
        <f t="shared" si="3"/>
        <v>0.0504329284052727</v>
      </c>
      <c r="I8" s="183">
        <f t="shared" si="4"/>
        <v>0.163463947038826</v>
      </c>
      <c r="J8" s="192">
        <f t="shared" si="5"/>
        <v>4568</v>
      </c>
      <c r="K8" s="182">
        <f t="shared" si="1"/>
        <v>1561</v>
      </c>
      <c r="L8" s="181" t="s">
        <v>58</v>
      </c>
      <c r="M8" s="182">
        <f>M9+M10+M11</f>
        <v>141719</v>
      </c>
      <c r="N8" s="182">
        <v>138123</v>
      </c>
      <c r="O8" s="182">
        <f>O9+O10+O11</f>
        <v>121701</v>
      </c>
      <c r="P8" s="182">
        <v>141719</v>
      </c>
      <c r="Q8" s="182">
        <f>Q9+Q10+Q11</f>
        <v>135716</v>
      </c>
      <c r="R8" s="182">
        <f>R9+R10+R11</f>
        <v>136487</v>
      </c>
      <c r="S8" s="183">
        <f t="shared" si="7"/>
        <v>0.00568098087182057</v>
      </c>
      <c r="T8" s="183">
        <f t="shared" si="8"/>
        <v>-0.011844515395698</v>
      </c>
      <c r="U8" s="192">
        <f t="shared" si="9"/>
        <v>-1636</v>
      </c>
      <c r="V8" s="182">
        <f t="shared" si="10"/>
        <v>771</v>
      </c>
      <c r="X8" s="188"/>
      <c r="Z8" s="188"/>
    </row>
    <row r="9" ht="23.1" customHeight="1" spans="1:28">
      <c r="A9" s="184" t="s">
        <v>59</v>
      </c>
      <c r="B9" s="182">
        <v>5600</v>
      </c>
      <c r="C9" s="182">
        <v>5565</v>
      </c>
      <c r="D9" s="182">
        <v>4516</v>
      </c>
      <c r="E9" s="182">
        <v>5600</v>
      </c>
      <c r="F9" s="182">
        <f>D9+300</f>
        <v>4816</v>
      </c>
      <c r="G9" s="204">
        <v>5007</v>
      </c>
      <c r="H9" s="183">
        <f t="shared" si="3"/>
        <v>0.0396594684385382</v>
      </c>
      <c r="I9" s="183">
        <f t="shared" si="4"/>
        <v>-0.100269541778976</v>
      </c>
      <c r="J9" s="192">
        <f t="shared" si="5"/>
        <v>-558</v>
      </c>
      <c r="K9" s="182">
        <f t="shared" si="1"/>
        <v>191</v>
      </c>
      <c r="L9" s="181" t="s">
        <v>60</v>
      </c>
      <c r="M9" s="182">
        <f>26160+9426</f>
        <v>35586</v>
      </c>
      <c r="N9" s="182">
        <v>33626</v>
      </c>
      <c r="O9" s="182">
        <v>26900</v>
      </c>
      <c r="P9" s="182">
        <v>35586</v>
      </c>
      <c r="Q9" s="182">
        <f>O9+2152+2700</f>
        <v>31752</v>
      </c>
      <c r="R9" s="182">
        <v>29680</v>
      </c>
      <c r="S9" s="183">
        <f t="shared" si="7"/>
        <v>-0.0652557319223986</v>
      </c>
      <c r="T9" s="183">
        <f t="shared" si="8"/>
        <v>-0.117349669898293</v>
      </c>
      <c r="U9" s="192">
        <f t="shared" si="9"/>
        <v>-3946</v>
      </c>
      <c r="V9" s="182">
        <f t="shared" si="10"/>
        <v>-2072</v>
      </c>
      <c r="X9" s="188"/>
      <c r="Y9" s="188"/>
      <c r="AB9" s="188"/>
    </row>
    <row r="10" ht="23.1" customHeight="1" spans="1:26">
      <c r="A10" s="181" t="s">
        <v>61</v>
      </c>
      <c r="B10" s="182">
        <f>20900-38</f>
        <v>20862</v>
      </c>
      <c r="C10" s="182">
        <v>22380</v>
      </c>
      <c r="D10" s="182">
        <v>25336</v>
      </c>
      <c r="E10" s="182">
        <v>20862</v>
      </c>
      <c r="F10" s="182">
        <f>D10+800</f>
        <v>26136</v>
      </c>
      <c r="G10" s="204">
        <v>27506</v>
      </c>
      <c r="H10" s="183">
        <f t="shared" si="3"/>
        <v>0.0524181205999388</v>
      </c>
      <c r="I10" s="183">
        <f t="shared" si="4"/>
        <v>0.229043789097408</v>
      </c>
      <c r="J10" s="192">
        <f t="shared" si="5"/>
        <v>5126</v>
      </c>
      <c r="K10" s="182">
        <f t="shared" si="1"/>
        <v>1370</v>
      </c>
      <c r="L10" s="181" t="s">
        <v>62</v>
      </c>
      <c r="M10" s="182">
        <f>11156</f>
        <v>11156</v>
      </c>
      <c r="N10" s="182">
        <v>12029</v>
      </c>
      <c r="O10" s="182">
        <v>9800</v>
      </c>
      <c r="P10" s="182">
        <v>11156</v>
      </c>
      <c r="Q10" s="182">
        <f>O10+784+436</f>
        <v>11020</v>
      </c>
      <c r="R10" s="182">
        <v>12787</v>
      </c>
      <c r="S10" s="183">
        <f t="shared" si="7"/>
        <v>0.160344827586207</v>
      </c>
      <c r="T10" s="183">
        <f t="shared" si="8"/>
        <v>0.0630143819103832</v>
      </c>
      <c r="U10" s="192">
        <f t="shared" si="9"/>
        <v>758</v>
      </c>
      <c r="V10" s="182">
        <f t="shared" si="10"/>
        <v>1767</v>
      </c>
      <c r="X10" s="188">
        <f>G6+G11+G12+G25+G35</f>
        <v>537489.67</v>
      </c>
      <c r="Y10" s="188"/>
      <c r="Z10" s="188"/>
    </row>
    <row r="11" ht="23.1" customHeight="1" spans="1:27">
      <c r="A11" s="205" t="s">
        <v>63</v>
      </c>
      <c r="B11" s="182">
        <f>103493-2+5-400+2+5+38-55</f>
        <v>103086</v>
      </c>
      <c r="C11" s="182">
        <v>98069</v>
      </c>
      <c r="D11" s="206">
        <f>34395+28585+4018+2386</f>
        <v>69384</v>
      </c>
      <c r="E11" s="206">
        <v>103086</v>
      </c>
      <c r="F11" s="182">
        <f>D11</f>
        <v>69384</v>
      </c>
      <c r="G11" s="204">
        <f>72646+2486-535</f>
        <v>74597</v>
      </c>
      <c r="H11" s="183">
        <f t="shared" si="3"/>
        <v>0.0751325954110458</v>
      </c>
      <c r="I11" s="183">
        <f t="shared" si="4"/>
        <v>-0.239341687995187</v>
      </c>
      <c r="J11" s="192">
        <f t="shared" si="5"/>
        <v>-23472</v>
      </c>
      <c r="K11" s="182">
        <f t="shared" si="1"/>
        <v>5213</v>
      </c>
      <c r="L11" s="181" t="s">
        <v>64</v>
      </c>
      <c r="M11" s="182">
        <f>92748+2229</f>
        <v>94977</v>
      </c>
      <c r="N11" s="182">
        <v>92468</v>
      </c>
      <c r="O11" s="182">
        <v>85001</v>
      </c>
      <c r="P11" s="182">
        <v>94977</v>
      </c>
      <c r="Q11" s="182">
        <f>O11+6800+1143</f>
        <v>92944</v>
      </c>
      <c r="R11" s="182">
        <v>94020</v>
      </c>
      <c r="S11" s="183">
        <f t="shared" si="7"/>
        <v>0.0115768634876915</v>
      </c>
      <c r="T11" s="183">
        <f t="shared" si="8"/>
        <v>0.0167841847990656</v>
      </c>
      <c r="U11" s="192">
        <f t="shared" si="9"/>
        <v>1552</v>
      </c>
      <c r="V11" s="182">
        <f t="shared" si="10"/>
        <v>1076</v>
      </c>
      <c r="X11" s="188"/>
      <c r="Y11" s="188"/>
      <c r="Z11" s="188"/>
      <c r="AA11" s="218"/>
    </row>
    <row r="12" ht="45" customHeight="1" spans="1:25">
      <c r="A12" s="205" t="s">
        <v>65</v>
      </c>
      <c r="B12" s="182">
        <f>B13+B14+B15</f>
        <v>270062</v>
      </c>
      <c r="C12" s="182">
        <v>270252</v>
      </c>
      <c r="D12" s="182">
        <f>D13+D14+D15</f>
        <v>309416</v>
      </c>
      <c r="E12" s="182">
        <v>270062</v>
      </c>
      <c r="F12" s="182">
        <f>F13+F14+F15+F16</f>
        <v>313744</v>
      </c>
      <c r="G12" s="204">
        <f>G13+G14+G15+G16</f>
        <v>312263</v>
      </c>
      <c r="H12" s="183">
        <f t="shared" si="3"/>
        <v>-0.00472040899586924</v>
      </c>
      <c r="I12" s="183">
        <f t="shared" si="4"/>
        <v>0.155451208501695</v>
      </c>
      <c r="J12" s="192">
        <f t="shared" si="5"/>
        <v>42011</v>
      </c>
      <c r="K12" s="182">
        <f t="shared" si="1"/>
        <v>-1481</v>
      </c>
      <c r="L12" s="181" t="s">
        <v>66</v>
      </c>
      <c r="M12" s="182">
        <f>46396+3200</f>
        <v>49596</v>
      </c>
      <c r="N12" s="182">
        <v>42041</v>
      </c>
      <c r="O12" s="182">
        <v>55153</v>
      </c>
      <c r="P12" s="182">
        <v>49596</v>
      </c>
      <c r="Q12" s="182">
        <f>O12+4412+107</f>
        <v>59672</v>
      </c>
      <c r="R12" s="182">
        <v>57495</v>
      </c>
      <c r="S12" s="183">
        <f t="shared" si="7"/>
        <v>-0.0364827724896099</v>
      </c>
      <c r="T12" s="183">
        <f t="shared" si="8"/>
        <v>0.367593539639875</v>
      </c>
      <c r="U12" s="192">
        <f t="shared" si="9"/>
        <v>15454</v>
      </c>
      <c r="V12" s="182">
        <f t="shared" si="10"/>
        <v>-2177</v>
      </c>
      <c r="X12" s="188"/>
      <c r="Y12" s="188"/>
    </row>
    <row r="13" ht="23.1" customHeight="1" spans="1:26">
      <c r="A13" s="205" t="s">
        <v>67</v>
      </c>
      <c r="B13" s="182">
        <v>140655</v>
      </c>
      <c r="C13" s="182">
        <v>128289</v>
      </c>
      <c r="D13" s="182">
        <f>79074-2497-2386</f>
        <v>74191</v>
      </c>
      <c r="E13" s="182">
        <v>140655</v>
      </c>
      <c r="F13" s="182">
        <f>D13-5</f>
        <v>74186</v>
      </c>
      <c r="G13" s="204">
        <f>208050-10000</f>
        <v>198050</v>
      </c>
      <c r="H13" s="183">
        <f t="shared" si="3"/>
        <v>1.66964117218882</v>
      </c>
      <c r="I13" s="183">
        <f t="shared" si="4"/>
        <v>0.543780059085346</v>
      </c>
      <c r="J13" s="192">
        <f t="shared" si="5"/>
        <v>69761</v>
      </c>
      <c r="K13" s="182">
        <f t="shared" si="1"/>
        <v>123864</v>
      </c>
      <c r="L13" s="181" t="s">
        <v>68</v>
      </c>
      <c r="M13" s="182">
        <f>7330-3200+1866+1753+2</f>
        <v>7751</v>
      </c>
      <c r="N13" s="182">
        <v>3353</v>
      </c>
      <c r="O13" s="182">
        <v>9760</v>
      </c>
      <c r="P13" s="182">
        <v>7751</v>
      </c>
      <c r="Q13" s="182">
        <f>O13+781-4386</f>
        <v>6155</v>
      </c>
      <c r="R13" s="182">
        <v>9056</v>
      </c>
      <c r="S13" s="183">
        <f t="shared" si="7"/>
        <v>0.471324126726239</v>
      </c>
      <c r="T13" s="183">
        <f t="shared" si="8"/>
        <v>1.70086489710707</v>
      </c>
      <c r="U13" s="192">
        <f t="shared" si="9"/>
        <v>5703</v>
      </c>
      <c r="V13" s="182">
        <f t="shared" si="10"/>
        <v>2901</v>
      </c>
      <c r="W13" s="195"/>
      <c r="X13" s="213"/>
      <c r="Y13" s="188"/>
      <c r="Z13" s="195"/>
    </row>
    <row r="14" ht="23.1" customHeight="1" spans="1:26">
      <c r="A14" s="205" t="s">
        <v>69</v>
      </c>
      <c r="B14" s="182">
        <v>128412</v>
      </c>
      <c r="C14" s="182">
        <v>128995</v>
      </c>
      <c r="D14" s="182">
        <f>245501-10000-276</f>
        <v>235225</v>
      </c>
      <c r="E14" s="182">
        <v>128412</v>
      </c>
      <c r="F14" s="182">
        <f>D14+2164</f>
        <v>237389</v>
      </c>
      <c r="G14" s="204">
        <f>113513-2773+30-32+604-715-16-5+47-231-9</f>
        <v>110413</v>
      </c>
      <c r="H14" s="183">
        <f t="shared" si="3"/>
        <v>-0.534885778195283</v>
      </c>
      <c r="I14" s="183">
        <f t="shared" si="4"/>
        <v>-0.144052095042444</v>
      </c>
      <c r="J14" s="192">
        <f t="shared" si="5"/>
        <v>-18582</v>
      </c>
      <c r="K14" s="182">
        <f t="shared" si="1"/>
        <v>-126976</v>
      </c>
      <c r="L14" s="181" t="s">
        <v>70</v>
      </c>
      <c r="M14" s="182">
        <f>3229-2</f>
        <v>3227</v>
      </c>
      <c r="N14" s="182">
        <v>2841</v>
      </c>
      <c r="O14" s="182">
        <v>2909</v>
      </c>
      <c r="P14" s="182">
        <v>3227</v>
      </c>
      <c r="Q14" s="182">
        <f>O14+233</f>
        <v>3142</v>
      </c>
      <c r="R14" s="182">
        <f>2831+395</f>
        <v>3226</v>
      </c>
      <c r="S14" s="183">
        <f t="shared" si="7"/>
        <v>0.0267345639719924</v>
      </c>
      <c r="T14" s="183">
        <f t="shared" si="8"/>
        <v>0.135515663498768</v>
      </c>
      <c r="U14" s="192">
        <f t="shared" si="9"/>
        <v>385</v>
      </c>
      <c r="V14" s="182">
        <f t="shared" si="10"/>
        <v>84</v>
      </c>
      <c r="W14" s="214"/>
      <c r="X14" s="188"/>
      <c r="Y14" s="188"/>
      <c r="Z14" s="214"/>
    </row>
    <row r="15" ht="33.95" customHeight="1" spans="1:25">
      <c r="A15" s="205" t="s">
        <v>71</v>
      </c>
      <c r="B15" s="182">
        <v>995</v>
      </c>
      <c r="C15" s="182">
        <v>12968</v>
      </c>
      <c r="D15" s="182"/>
      <c r="E15" s="182">
        <v>995</v>
      </c>
      <c r="F15" s="182">
        <f>D15</f>
        <v>0</v>
      </c>
      <c r="G15" s="204"/>
      <c r="H15" s="183"/>
      <c r="I15" s="183">
        <f t="shared" si="4"/>
        <v>-1</v>
      </c>
      <c r="J15" s="192">
        <f t="shared" si="5"/>
        <v>-12968</v>
      </c>
      <c r="K15" s="182">
        <f t="shared" ref="K15:K23" si="12">G15-F15</f>
        <v>0</v>
      </c>
      <c r="L15" s="184" t="s">
        <v>72</v>
      </c>
      <c r="M15" s="182">
        <f>SUM(M16:M18)</f>
        <v>100657</v>
      </c>
      <c r="N15" s="182">
        <v>99751</v>
      </c>
      <c r="O15" s="182">
        <f>SUM(O16:O18)</f>
        <v>57718</v>
      </c>
      <c r="P15" s="182">
        <v>100657</v>
      </c>
      <c r="Q15" s="182">
        <f>O15+14735</f>
        <v>72453</v>
      </c>
      <c r="R15" s="182">
        <f>SUM(R16:R18)</f>
        <v>71650</v>
      </c>
      <c r="S15" s="183">
        <f t="shared" si="7"/>
        <v>-0.0110830469407754</v>
      </c>
      <c r="T15" s="183">
        <f t="shared" si="8"/>
        <v>-0.281711461539233</v>
      </c>
      <c r="U15" s="192">
        <f t="shared" si="9"/>
        <v>-28101</v>
      </c>
      <c r="V15" s="182">
        <f t="shared" si="10"/>
        <v>-803</v>
      </c>
      <c r="X15" s="188"/>
      <c r="Y15" s="188"/>
    </row>
    <row r="16" ht="23.1" customHeight="1" spans="1:24">
      <c r="A16" s="205" t="s">
        <v>73</v>
      </c>
      <c r="B16" s="182"/>
      <c r="C16" s="182"/>
      <c r="D16" s="182"/>
      <c r="E16" s="182"/>
      <c r="F16" s="182">
        <f>5+2164</f>
        <v>2169</v>
      </c>
      <c r="G16" s="204">
        <f>3800</f>
        <v>3800</v>
      </c>
      <c r="H16" s="183">
        <f t="shared" si="3"/>
        <v>0.751959428307976</v>
      </c>
      <c r="I16" s="183"/>
      <c r="J16" s="192">
        <f t="shared" si="5"/>
        <v>3800</v>
      </c>
      <c r="K16" s="182">
        <f t="shared" si="12"/>
        <v>1631</v>
      </c>
      <c r="L16" s="181" t="s">
        <v>74</v>
      </c>
      <c r="M16" s="182">
        <f>89677-3767+5</f>
        <v>85915</v>
      </c>
      <c r="N16" s="182">
        <v>90047</v>
      </c>
      <c r="O16" s="182">
        <v>50141</v>
      </c>
      <c r="P16" s="182">
        <v>85915</v>
      </c>
      <c r="Q16" s="182">
        <f>O16+11629</f>
        <v>61770</v>
      </c>
      <c r="R16" s="182">
        <f>62700-9</f>
        <v>62691</v>
      </c>
      <c r="S16" s="183">
        <f t="shared" si="7"/>
        <v>0.0149101505585236</v>
      </c>
      <c r="T16" s="183">
        <f t="shared" si="8"/>
        <v>-0.303796906060169</v>
      </c>
      <c r="U16" s="192">
        <f t="shared" si="9"/>
        <v>-27356</v>
      </c>
      <c r="V16" s="182">
        <f t="shared" si="10"/>
        <v>921</v>
      </c>
      <c r="X16" s="188"/>
    </row>
    <row r="17" ht="23.1" customHeight="1" spans="1:24">
      <c r="A17" s="205" t="s">
        <v>75</v>
      </c>
      <c r="B17" s="182">
        <v>2773</v>
      </c>
      <c r="C17" s="182">
        <v>3198</v>
      </c>
      <c r="D17" s="182">
        <f>276+2497</f>
        <v>2773</v>
      </c>
      <c r="E17" s="182">
        <v>2773</v>
      </c>
      <c r="F17" s="182">
        <f>D17</f>
        <v>2773</v>
      </c>
      <c r="G17" s="204">
        <v>2773</v>
      </c>
      <c r="H17" s="183">
        <f t="shared" si="3"/>
        <v>0</v>
      </c>
      <c r="I17" s="183">
        <f t="shared" si="4"/>
        <v>-0.132895559724828</v>
      </c>
      <c r="J17" s="192">
        <f t="shared" si="5"/>
        <v>-425</v>
      </c>
      <c r="K17" s="182">
        <f t="shared" si="12"/>
        <v>0</v>
      </c>
      <c r="L17" s="181" t="s">
        <v>76</v>
      </c>
      <c r="M17" s="182">
        <f>10975-727</f>
        <v>10248</v>
      </c>
      <c r="N17" s="182">
        <v>9704</v>
      </c>
      <c r="O17" s="182">
        <v>5330</v>
      </c>
      <c r="P17" s="182">
        <v>10248</v>
      </c>
      <c r="Q17" s="182">
        <f>O17+2508</f>
        <v>7838</v>
      </c>
      <c r="R17" s="182">
        <v>6393</v>
      </c>
      <c r="S17" s="183">
        <f t="shared" si="7"/>
        <v>-0.1843582546568</v>
      </c>
      <c r="T17" s="183">
        <f t="shared" si="8"/>
        <v>-0.341199505358615</v>
      </c>
      <c r="U17" s="192">
        <f t="shared" si="9"/>
        <v>-3311</v>
      </c>
      <c r="V17" s="182">
        <f t="shared" si="10"/>
        <v>-1445</v>
      </c>
      <c r="X17" s="188"/>
    </row>
    <row r="18" ht="23.1" customHeight="1" spans="1:24">
      <c r="A18" s="205" t="s">
        <v>77</v>
      </c>
      <c r="B18" s="182">
        <v>10000</v>
      </c>
      <c r="C18" s="182"/>
      <c r="D18" s="182">
        <v>10000</v>
      </c>
      <c r="E18" s="182">
        <v>10000</v>
      </c>
      <c r="F18" s="182">
        <f>D18</f>
        <v>10000</v>
      </c>
      <c r="G18" s="204">
        <v>10000</v>
      </c>
      <c r="H18" s="183">
        <f t="shared" si="3"/>
        <v>0</v>
      </c>
      <c r="I18" s="183"/>
      <c r="J18" s="192">
        <f t="shared" si="5"/>
        <v>10000</v>
      </c>
      <c r="K18" s="182">
        <f t="shared" si="12"/>
        <v>0</v>
      </c>
      <c r="L18" s="181" t="s">
        <v>78</v>
      </c>
      <c r="M18" s="182">
        <v>4494</v>
      </c>
      <c r="N18" s="182"/>
      <c r="O18" s="182">
        <v>2247</v>
      </c>
      <c r="P18" s="182">
        <v>4494</v>
      </c>
      <c r="Q18" s="182">
        <f>O18+598</f>
        <v>2845</v>
      </c>
      <c r="R18" s="182">
        <v>2566</v>
      </c>
      <c r="S18" s="183">
        <f t="shared" si="7"/>
        <v>-0.0980667838312829</v>
      </c>
      <c r="T18" s="183"/>
      <c r="U18" s="192">
        <f t="shared" si="9"/>
        <v>2566</v>
      </c>
      <c r="V18" s="182">
        <f t="shared" si="10"/>
        <v>-279</v>
      </c>
      <c r="X18" s="188"/>
    </row>
    <row r="19" ht="23.1" customHeight="1" spans="1:22">
      <c r="A19" s="205" t="s">
        <v>79</v>
      </c>
      <c r="B19" s="182">
        <v>11782</v>
      </c>
      <c r="C19" s="182">
        <v>9458</v>
      </c>
      <c r="D19" s="182">
        <v>16442</v>
      </c>
      <c r="E19" s="182">
        <v>11782</v>
      </c>
      <c r="F19" s="182">
        <f>D19</f>
        <v>16442</v>
      </c>
      <c r="G19" s="204">
        <v>16569</v>
      </c>
      <c r="H19" s="183">
        <f t="shared" si="3"/>
        <v>0.00772412115314439</v>
      </c>
      <c r="I19" s="183">
        <f t="shared" si="4"/>
        <v>0.751850285472616</v>
      </c>
      <c r="J19" s="192">
        <f t="shared" si="5"/>
        <v>7111</v>
      </c>
      <c r="K19" s="182">
        <f t="shared" si="12"/>
        <v>127</v>
      </c>
      <c r="L19" s="211" t="s">
        <v>80</v>
      </c>
      <c r="M19" s="182">
        <f>M20+M21</f>
        <v>269067</v>
      </c>
      <c r="N19" s="182">
        <v>213944</v>
      </c>
      <c r="O19" s="182">
        <f t="shared" ref="O19" si="13">O20+O21</f>
        <v>230592</v>
      </c>
      <c r="P19" s="182">
        <v>269067</v>
      </c>
      <c r="Q19" s="182">
        <f>Q20+Q21</f>
        <v>275130</v>
      </c>
      <c r="R19" s="182">
        <f>R20+R21</f>
        <v>289062</v>
      </c>
      <c r="S19" s="183">
        <f t="shared" si="7"/>
        <v>0.0506378802747792</v>
      </c>
      <c r="T19" s="183">
        <f t="shared" si="8"/>
        <v>0.35111057099054</v>
      </c>
      <c r="U19" s="192">
        <f t="shared" si="9"/>
        <v>75118</v>
      </c>
      <c r="V19" s="182">
        <f t="shared" si="10"/>
        <v>13932</v>
      </c>
    </row>
    <row r="20" ht="23.1" customHeight="1" spans="1:22">
      <c r="A20" s="205" t="s">
        <v>81</v>
      </c>
      <c r="B20" s="182">
        <f>B21+B22+B23</f>
        <v>45767</v>
      </c>
      <c r="C20" s="182">
        <v>23790</v>
      </c>
      <c r="D20" s="182">
        <f>D21+D22+D23</f>
        <v>44379</v>
      </c>
      <c r="E20" s="182">
        <v>45767</v>
      </c>
      <c r="F20" s="182">
        <f>F21+F22+F23</f>
        <v>44379</v>
      </c>
      <c r="G20" s="204">
        <f>G21+G22+G23</f>
        <v>45767</v>
      </c>
      <c r="H20" s="183">
        <f t="shared" si="3"/>
        <v>0.0312760539894995</v>
      </c>
      <c r="I20" s="183">
        <f t="shared" si="4"/>
        <v>0.923791509037411</v>
      </c>
      <c r="J20" s="192">
        <f t="shared" si="5"/>
        <v>21977</v>
      </c>
      <c r="K20" s="182">
        <f t="shared" si="12"/>
        <v>1388</v>
      </c>
      <c r="L20" s="184" t="s">
        <v>82</v>
      </c>
      <c r="M20" s="182">
        <f>B13</f>
        <v>140655</v>
      </c>
      <c r="N20" s="182">
        <v>118394</v>
      </c>
      <c r="O20" s="182">
        <f>40147-276</f>
        <v>39871</v>
      </c>
      <c r="P20" s="182">
        <v>140655</v>
      </c>
      <c r="Q20" s="182">
        <f>O20+2836-553+10000</f>
        <v>52154</v>
      </c>
      <c r="R20" s="182">
        <f>198363-10000</f>
        <v>188363</v>
      </c>
      <c r="S20" s="183">
        <f t="shared" si="7"/>
        <v>2.61166928711125</v>
      </c>
      <c r="T20" s="183">
        <f t="shared" si="8"/>
        <v>0.590984340422657</v>
      </c>
      <c r="U20" s="192">
        <f t="shared" si="9"/>
        <v>69969</v>
      </c>
      <c r="V20" s="182">
        <f t="shared" si="10"/>
        <v>136209</v>
      </c>
    </row>
    <row r="21" ht="23.1" customHeight="1" spans="1:25">
      <c r="A21" s="185" t="s">
        <v>83</v>
      </c>
      <c r="B21" s="182">
        <f>N27</f>
        <v>45767</v>
      </c>
      <c r="C21" s="182">
        <v>31524</v>
      </c>
      <c r="D21" s="182">
        <v>37888</v>
      </c>
      <c r="E21" s="182">
        <v>45767</v>
      </c>
      <c r="F21" s="182">
        <f>D21-940</f>
        <v>36948</v>
      </c>
      <c r="G21" s="204">
        <f>26240</f>
        <v>26240</v>
      </c>
      <c r="H21" s="183">
        <f t="shared" si="3"/>
        <v>-0.289812709754249</v>
      </c>
      <c r="I21" s="183">
        <f t="shared" si="4"/>
        <v>-0.1676183225479</v>
      </c>
      <c r="J21" s="192">
        <f t="shared" si="5"/>
        <v>-5284</v>
      </c>
      <c r="K21" s="182">
        <f t="shared" si="12"/>
        <v>-10708</v>
      </c>
      <c r="L21" s="184" t="s">
        <v>84</v>
      </c>
      <c r="M21" s="182">
        <f>B14</f>
        <v>128412</v>
      </c>
      <c r="N21" s="182">
        <v>95550</v>
      </c>
      <c r="O21" s="182">
        <f>200721-10000</f>
        <v>190721</v>
      </c>
      <c r="P21" s="182">
        <v>128412</v>
      </c>
      <c r="Q21" s="182">
        <f>O21+17255-15000+30000</f>
        <v>222976</v>
      </c>
      <c r="R21" s="182">
        <f>103425-2773+47</f>
        <v>100699</v>
      </c>
      <c r="S21" s="183">
        <f t="shared" si="7"/>
        <v>-0.548386373421355</v>
      </c>
      <c r="T21" s="183">
        <f t="shared" si="8"/>
        <v>0.0538880167451596</v>
      </c>
      <c r="U21" s="192">
        <f t="shared" si="9"/>
        <v>5149</v>
      </c>
      <c r="V21" s="182">
        <f t="shared" si="10"/>
        <v>-122277</v>
      </c>
      <c r="W21" s="214"/>
      <c r="X21" s="215"/>
      <c r="Y21" s="214"/>
    </row>
    <row r="22" ht="23.1" customHeight="1" spans="1:24">
      <c r="A22" s="184" t="s">
        <v>85</v>
      </c>
      <c r="B22" s="182">
        <v>0</v>
      </c>
      <c r="C22" s="182">
        <v>1423</v>
      </c>
      <c r="D22" s="182">
        <f>7237+652</f>
        <v>7889</v>
      </c>
      <c r="E22" s="182">
        <v>0</v>
      </c>
      <c r="F22" s="182">
        <f>D22+940</f>
        <v>8829</v>
      </c>
      <c r="G22" s="204">
        <f>7237+652+11638</f>
        <v>19527</v>
      </c>
      <c r="H22" s="183">
        <f t="shared" si="3"/>
        <v>1.21168875297316</v>
      </c>
      <c r="I22" s="183">
        <f t="shared" si="4"/>
        <v>12.7224174279691</v>
      </c>
      <c r="J22" s="192">
        <f t="shared" si="5"/>
        <v>18104</v>
      </c>
      <c r="K22" s="182">
        <f t="shared" si="12"/>
        <v>10698</v>
      </c>
      <c r="L22" s="211" t="s">
        <v>86</v>
      </c>
      <c r="M22" s="182">
        <f>B20</f>
        <v>45767</v>
      </c>
      <c r="N22" s="182">
        <v>19940</v>
      </c>
      <c r="O22" s="182">
        <v>5049.504875</v>
      </c>
      <c r="P22" s="182">
        <v>45767</v>
      </c>
      <c r="Q22" s="182">
        <f>O22+8705-4500+11036</f>
        <v>20290.504875</v>
      </c>
      <c r="R22" s="182">
        <f>23606+9-47</f>
        <v>23568</v>
      </c>
      <c r="S22" s="183">
        <f t="shared" si="7"/>
        <v>0.161528515194228</v>
      </c>
      <c r="T22" s="183">
        <f t="shared" si="8"/>
        <v>0.181945837512538</v>
      </c>
      <c r="U22" s="192">
        <f t="shared" si="9"/>
        <v>3628</v>
      </c>
      <c r="V22" s="182">
        <f t="shared" si="10"/>
        <v>3277.495125</v>
      </c>
      <c r="X22" s="188"/>
    </row>
    <row r="23" ht="33.95" customHeight="1" spans="1:29">
      <c r="A23" s="205" t="s">
        <v>87</v>
      </c>
      <c r="B23" s="182">
        <v>0</v>
      </c>
      <c r="C23" s="182">
        <v>-9157</v>
      </c>
      <c r="D23" s="182">
        <v>-1398</v>
      </c>
      <c r="E23" s="182">
        <v>0</v>
      </c>
      <c r="F23" s="182">
        <f>D23</f>
        <v>-1398</v>
      </c>
      <c r="G23" s="204"/>
      <c r="H23" s="183">
        <f t="shared" si="3"/>
        <v>-1</v>
      </c>
      <c r="I23" s="183">
        <f t="shared" si="4"/>
        <v>-1</v>
      </c>
      <c r="J23" s="192">
        <f t="shared" si="5"/>
        <v>9157</v>
      </c>
      <c r="K23" s="182">
        <f t="shared" si="12"/>
        <v>1398</v>
      </c>
      <c r="L23" s="211" t="s">
        <v>88</v>
      </c>
      <c r="M23" s="182">
        <f>B17</f>
        <v>2773</v>
      </c>
      <c r="N23" s="182">
        <v>3198</v>
      </c>
      <c r="O23" s="182">
        <f>276+715</f>
        <v>991</v>
      </c>
      <c r="P23" s="182">
        <v>2773</v>
      </c>
      <c r="Q23" s="182">
        <f>2497+276</f>
        <v>2773</v>
      </c>
      <c r="R23" s="204">
        <f>2497+276</f>
        <v>2773</v>
      </c>
      <c r="S23" s="183">
        <f t="shared" si="7"/>
        <v>0</v>
      </c>
      <c r="T23" s="183">
        <f t="shared" si="8"/>
        <v>-0.132895559724828</v>
      </c>
      <c r="U23" s="192">
        <f t="shared" si="9"/>
        <v>-425</v>
      </c>
      <c r="V23" s="182">
        <f t="shared" si="10"/>
        <v>0</v>
      </c>
      <c r="Z23" s="190"/>
      <c r="AC23" s="188"/>
    </row>
    <row r="24" ht="23.1" customHeight="1" spans="1:22">
      <c r="A24" s="205" t="s">
        <v>89</v>
      </c>
      <c r="B24" s="182">
        <f>N35</f>
        <v>32087</v>
      </c>
      <c r="C24" s="182"/>
      <c r="D24" s="182">
        <v>31191</v>
      </c>
      <c r="E24" s="182">
        <v>32087</v>
      </c>
      <c r="F24" s="182">
        <f>D24</f>
        <v>31191</v>
      </c>
      <c r="G24" s="204">
        <v>31191</v>
      </c>
      <c r="H24" s="183"/>
      <c r="I24" s="183"/>
      <c r="J24" s="192">
        <f t="shared" si="5"/>
        <v>31191</v>
      </c>
      <c r="K24" s="182">
        <f t="shared" ref="K24:K25" si="14">G24-F24</f>
        <v>0</v>
      </c>
      <c r="L24" s="211" t="s">
        <v>90</v>
      </c>
      <c r="M24" s="182">
        <f>B18</f>
        <v>10000</v>
      </c>
      <c r="N24" s="182"/>
      <c r="O24" s="182">
        <v>10000</v>
      </c>
      <c r="P24" s="182">
        <v>10000</v>
      </c>
      <c r="Q24" s="182">
        <v>10000</v>
      </c>
      <c r="R24" s="182">
        <v>10000</v>
      </c>
      <c r="S24" s="183">
        <f t="shared" si="7"/>
        <v>0</v>
      </c>
      <c r="T24" s="183"/>
      <c r="U24" s="192">
        <f t="shared" si="9"/>
        <v>10000</v>
      </c>
      <c r="V24" s="182">
        <f t="shared" si="10"/>
        <v>0</v>
      </c>
    </row>
    <row r="25" ht="33.95" customHeight="1" spans="1:22">
      <c r="A25" s="205" t="s">
        <v>91</v>
      </c>
      <c r="B25" s="182"/>
      <c r="C25" s="182"/>
      <c r="D25" s="182"/>
      <c r="E25" s="182"/>
      <c r="F25" s="182"/>
      <c r="G25" s="204">
        <v>5085</v>
      </c>
      <c r="H25" s="183"/>
      <c r="I25" s="183"/>
      <c r="J25" s="192">
        <f t="shared" si="5"/>
        <v>5085</v>
      </c>
      <c r="K25" s="182">
        <f t="shared" si="14"/>
        <v>5085</v>
      </c>
      <c r="L25" s="211" t="s">
        <v>92</v>
      </c>
      <c r="M25" s="182"/>
      <c r="N25" s="182"/>
      <c r="O25" s="182"/>
      <c r="P25" s="182"/>
      <c r="Q25" s="182"/>
      <c r="R25" s="204">
        <v>715</v>
      </c>
      <c r="S25" s="183"/>
      <c r="T25" s="183"/>
      <c r="U25" s="192">
        <f t="shared" si="9"/>
        <v>715</v>
      </c>
      <c r="V25" s="182"/>
    </row>
    <row r="26" ht="23.1" customHeight="1" spans="1:29">
      <c r="A26" s="205"/>
      <c r="B26" s="182"/>
      <c r="C26" s="182"/>
      <c r="D26" s="182"/>
      <c r="E26" s="182"/>
      <c r="F26" s="182"/>
      <c r="G26" s="204"/>
      <c r="H26" s="183"/>
      <c r="I26" s="183"/>
      <c r="J26" s="183"/>
      <c r="K26" s="182">
        <f t="shared" ref="K26:K35" si="15">G26-F26</f>
        <v>0</v>
      </c>
      <c r="L26" s="211" t="s">
        <v>93</v>
      </c>
      <c r="M26" s="182">
        <f>9768+12846</f>
        <v>22614</v>
      </c>
      <c r="N26" s="182">
        <v>9775</v>
      </c>
      <c r="O26" s="182">
        <f>12373+6+13453</f>
        <v>25832</v>
      </c>
      <c r="P26" s="182">
        <v>22614</v>
      </c>
      <c r="Q26" s="182">
        <f>12373+6+13453</f>
        <v>25832</v>
      </c>
      <c r="R26" s="204">
        <f>27119-535</f>
        <v>26584</v>
      </c>
      <c r="S26" s="183">
        <f t="shared" si="7"/>
        <v>0.0291111799318675</v>
      </c>
      <c r="T26" s="183">
        <f t="shared" si="8"/>
        <v>1.71959079283887</v>
      </c>
      <c r="U26" s="192">
        <f t="shared" si="9"/>
        <v>16809</v>
      </c>
      <c r="V26" s="182">
        <f t="shared" si="10"/>
        <v>752</v>
      </c>
      <c r="AC26" s="188"/>
    </row>
    <row r="27" ht="23.1" customHeight="1" spans="1:22">
      <c r="A27" s="205"/>
      <c r="B27" s="182"/>
      <c r="C27" s="182"/>
      <c r="D27" s="182"/>
      <c r="E27" s="182"/>
      <c r="F27" s="182"/>
      <c r="G27" s="204"/>
      <c r="H27" s="183"/>
      <c r="I27" s="183"/>
      <c r="J27" s="183"/>
      <c r="K27" s="182">
        <f t="shared" si="15"/>
        <v>0</v>
      </c>
      <c r="L27" s="211" t="s">
        <v>94</v>
      </c>
      <c r="M27" s="182">
        <f t="shared" ref="M27" si="16">SUM(M28:M30)</f>
        <v>0</v>
      </c>
      <c r="N27" s="182">
        <v>45767</v>
      </c>
      <c r="O27" s="182">
        <f>O28+O29+O30</f>
        <v>111662.495125</v>
      </c>
      <c r="P27" s="182">
        <v>0</v>
      </c>
      <c r="Q27" s="182">
        <f>Q28+Q29+Q30</f>
        <v>51704.495125</v>
      </c>
      <c r="R27" s="204">
        <f>R28+R29+R30</f>
        <v>22073</v>
      </c>
      <c r="S27" s="183">
        <f t="shared" si="7"/>
        <v>-0.573093210819743</v>
      </c>
      <c r="T27" s="183">
        <f t="shared" si="8"/>
        <v>-0.517709266502065</v>
      </c>
      <c r="U27" s="192">
        <f t="shared" si="9"/>
        <v>-23694</v>
      </c>
      <c r="V27" s="182">
        <f t="shared" si="10"/>
        <v>-29631.495125</v>
      </c>
    </row>
    <row r="28" ht="23.1" customHeight="1" spans="1:22">
      <c r="A28" s="205"/>
      <c r="B28" s="182"/>
      <c r="C28" s="182"/>
      <c r="D28" s="182"/>
      <c r="E28" s="182"/>
      <c r="F28" s="182"/>
      <c r="G28" s="204"/>
      <c r="H28" s="183"/>
      <c r="I28" s="183"/>
      <c r="J28" s="183"/>
      <c r="K28" s="182">
        <f t="shared" si="15"/>
        <v>0</v>
      </c>
      <c r="L28" s="184" t="s">
        <v>95</v>
      </c>
      <c r="M28" s="182">
        <f t="shared" ref="M28:O29" si="17">B13-M20</f>
        <v>0</v>
      </c>
      <c r="N28" s="182">
        <f t="shared" si="17"/>
        <v>9895</v>
      </c>
      <c r="O28" s="182">
        <f t="shared" si="17"/>
        <v>34320</v>
      </c>
      <c r="P28" s="182">
        <v>0</v>
      </c>
      <c r="Q28" s="182">
        <f>F13-Q20</f>
        <v>22032</v>
      </c>
      <c r="R28" s="182">
        <f>G13-R20</f>
        <v>9687</v>
      </c>
      <c r="S28" s="183">
        <f t="shared" si="7"/>
        <v>-0.560321350762527</v>
      </c>
      <c r="T28" s="183">
        <f t="shared" si="8"/>
        <v>-0.0210207175341081</v>
      </c>
      <c r="U28" s="192">
        <f t="shared" si="9"/>
        <v>-208</v>
      </c>
      <c r="V28" s="182">
        <f t="shared" si="10"/>
        <v>-12345</v>
      </c>
    </row>
    <row r="29" ht="23.1" customHeight="1" spans="1:22">
      <c r="A29" s="205"/>
      <c r="B29" s="182"/>
      <c r="C29" s="182"/>
      <c r="D29" s="182"/>
      <c r="E29" s="182"/>
      <c r="F29" s="182"/>
      <c r="G29" s="204"/>
      <c r="H29" s="183"/>
      <c r="I29" s="183"/>
      <c r="J29" s="183"/>
      <c r="K29" s="182">
        <f t="shared" si="15"/>
        <v>0</v>
      </c>
      <c r="L29" s="184" t="s">
        <v>96</v>
      </c>
      <c r="M29" s="182">
        <f t="shared" si="17"/>
        <v>0</v>
      </c>
      <c r="N29" s="182">
        <f t="shared" si="17"/>
        <v>33445</v>
      </c>
      <c r="O29" s="182">
        <f t="shared" si="17"/>
        <v>44504</v>
      </c>
      <c r="P29" s="182">
        <v>0</v>
      </c>
      <c r="Q29" s="182">
        <f>F14-Q21</f>
        <v>14413</v>
      </c>
      <c r="R29" s="182">
        <f>G14-R21</f>
        <v>9714</v>
      </c>
      <c r="S29" s="183">
        <f t="shared" si="7"/>
        <v>-0.326025116214529</v>
      </c>
      <c r="T29" s="183">
        <f t="shared" si="8"/>
        <v>-0.709552997458514</v>
      </c>
      <c r="U29" s="192">
        <f t="shared" si="9"/>
        <v>-23731</v>
      </c>
      <c r="V29" s="182">
        <f t="shared" si="10"/>
        <v>-4699</v>
      </c>
    </row>
    <row r="30" ht="23.1" customHeight="1" spans="1:22">
      <c r="A30" s="205"/>
      <c r="B30" s="182"/>
      <c r="C30" s="182"/>
      <c r="D30" s="182"/>
      <c r="E30" s="182"/>
      <c r="F30" s="182"/>
      <c r="G30" s="204"/>
      <c r="H30" s="183"/>
      <c r="I30" s="183"/>
      <c r="J30" s="183"/>
      <c r="K30" s="182">
        <f t="shared" si="15"/>
        <v>0</v>
      </c>
      <c r="L30" s="184" t="s">
        <v>97</v>
      </c>
      <c r="M30" s="182">
        <f>B21+B23-M22</f>
        <v>0</v>
      </c>
      <c r="N30" s="182">
        <f>C21+C23-N22</f>
        <v>2427</v>
      </c>
      <c r="O30" s="182">
        <f>D21-O22</f>
        <v>32838.495125</v>
      </c>
      <c r="P30" s="182">
        <v>0</v>
      </c>
      <c r="Q30" s="182">
        <f>F21+F23-Q22</f>
        <v>15259.495125</v>
      </c>
      <c r="R30" s="182">
        <f>G21+G23-R22</f>
        <v>2672</v>
      </c>
      <c r="S30" s="183">
        <f t="shared" si="7"/>
        <v>-0.824895910506082</v>
      </c>
      <c r="T30" s="183">
        <f t="shared" si="8"/>
        <v>0.100947672023074</v>
      </c>
      <c r="U30" s="192">
        <f t="shared" si="9"/>
        <v>245</v>
      </c>
      <c r="V30" s="182">
        <f t="shared" si="10"/>
        <v>-12587.495125</v>
      </c>
    </row>
    <row r="31" ht="23.1" customHeight="1" spans="1:25">
      <c r="A31" s="205"/>
      <c r="B31" s="182"/>
      <c r="C31" s="182"/>
      <c r="D31" s="182"/>
      <c r="E31" s="182"/>
      <c r="F31" s="182"/>
      <c r="G31" s="204"/>
      <c r="H31" s="183"/>
      <c r="I31" s="183"/>
      <c r="J31" s="183"/>
      <c r="K31" s="182">
        <f t="shared" si="15"/>
        <v>0</v>
      </c>
      <c r="L31" s="179" t="s">
        <v>98</v>
      </c>
      <c r="M31" s="212">
        <f>M6+M19+M22+M24</f>
        <v>627784</v>
      </c>
      <c r="N31" s="212">
        <v>519993</v>
      </c>
      <c r="O31" s="212">
        <f>O6+O19+O22+O24</f>
        <v>492882.504875</v>
      </c>
      <c r="P31" s="212">
        <v>627784</v>
      </c>
      <c r="Q31" s="212">
        <f>Q6+Q19+Q22+Q24</f>
        <v>582558.504875</v>
      </c>
      <c r="R31" s="212">
        <f>R6+R19+R22+R24</f>
        <v>600544</v>
      </c>
      <c r="S31" s="183">
        <f t="shared" si="7"/>
        <v>0.0308732856434036</v>
      </c>
      <c r="T31" s="183">
        <f t="shared" si="8"/>
        <v>0.154907854528811</v>
      </c>
      <c r="U31" s="192">
        <f t="shared" si="9"/>
        <v>80551</v>
      </c>
      <c r="V31" s="182">
        <f t="shared" si="10"/>
        <v>17985.495125</v>
      </c>
      <c r="Y31" s="188"/>
    </row>
    <row r="32" ht="23.1" customHeight="1" spans="1:24">
      <c r="A32" s="187" t="s">
        <v>99</v>
      </c>
      <c r="B32" s="186">
        <f t="shared" ref="B32:G32" si="18">B6+B11+B15+B19+B22+B24+B16+B25</f>
        <v>262985</v>
      </c>
      <c r="C32" s="186">
        <f t="shared" si="18"/>
        <v>230384</v>
      </c>
      <c r="D32" s="186">
        <f t="shared" si="18"/>
        <v>223223</v>
      </c>
      <c r="E32" s="186">
        <f t="shared" si="18"/>
        <v>262985</v>
      </c>
      <c r="F32" s="186">
        <f t="shared" si="18"/>
        <v>235267</v>
      </c>
      <c r="G32" s="207">
        <f t="shared" si="18"/>
        <v>259598.67</v>
      </c>
      <c r="H32" s="183">
        <f t="shared" si="3"/>
        <v>0.103421516829815</v>
      </c>
      <c r="I32" s="183">
        <f t="shared" si="4"/>
        <v>0.126808589138135</v>
      </c>
      <c r="J32" s="183"/>
      <c r="K32" s="182">
        <f t="shared" si="15"/>
        <v>24331.67</v>
      </c>
      <c r="L32" s="179" t="s">
        <v>100</v>
      </c>
      <c r="M32" s="186">
        <f t="shared" ref="M32:R32" si="19">M6+M26+M25</f>
        <v>325564</v>
      </c>
      <c r="N32" s="186">
        <f t="shared" si="19"/>
        <v>295884</v>
      </c>
      <c r="O32" s="186">
        <f t="shared" si="19"/>
        <v>273073</v>
      </c>
      <c r="P32" s="186">
        <f t="shared" si="19"/>
        <v>325564</v>
      </c>
      <c r="Q32" s="186">
        <f t="shared" si="19"/>
        <v>302970</v>
      </c>
      <c r="R32" s="186">
        <f t="shared" si="19"/>
        <v>305213</v>
      </c>
      <c r="S32" s="183">
        <f t="shared" si="7"/>
        <v>0.00740337327128099</v>
      </c>
      <c r="T32" s="183">
        <f t="shared" si="8"/>
        <v>0.0315292479485204</v>
      </c>
      <c r="U32" s="192">
        <f t="shared" si="9"/>
        <v>9329</v>
      </c>
      <c r="V32" s="182">
        <f t="shared" si="10"/>
        <v>2243</v>
      </c>
      <c r="X32" s="188">
        <f>G32-R32</f>
        <v>-45614.33</v>
      </c>
    </row>
    <row r="33" ht="23.1" customHeight="1" spans="1:24">
      <c r="A33" s="187" t="s">
        <v>101</v>
      </c>
      <c r="B33" s="186">
        <f>B6+B11+B12+B17+B18+B19+B20+B24</f>
        <v>590592</v>
      </c>
      <c r="C33" s="186">
        <v>513233</v>
      </c>
      <c r="D33" s="186">
        <f>D6+D11+D12+D17+D18+D19+D20+D24</f>
        <v>581902</v>
      </c>
      <c r="E33" s="186">
        <v>590592</v>
      </c>
      <c r="F33" s="186">
        <f>F6+F11+F12+F17+F18+F19+F20+F24</f>
        <v>595165</v>
      </c>
      <c r="G33" s="207">
        <f>G6+G11+G12+G17+G18+G19+G20+G24+G25</f>
        <v>607074.67</v>
      </c>
      <c r="H33" s="183">
        <f t="shared" si="3"/>
        <v>0.0200107029143178</v>
      </c>
      <c r="I33" s="183">
        <f t="shared" si="4"/>
        <v>0.182844185779168</v>
      </c>
      <c r="J33" s="183"/>
      <c r="K33" s="182">
        <f t="shared" si="15"/>
        <v>11909.6699999999</v>
      </c>
      <c r="L33" s="179" t="s">
        <v>102</v>
      </c>
      <c r="M33" s="186">
        <f>M6+M19+M22+M24+M23+M26+M27</f>
        <v>653171</v>
      </c>
      <c r="N33" s="186">
        <v>578733</v>
      </c>
      <c r="O33" s="186">
        <f t="shared" ref="O33" si="20">O6+O19+O22+O24+O23+O26+O27</f>
        <v>631368</v>
      </c>
      <c r="P33" s="186">
        <v>653171</v>
      </c>
      <c r="Q33" s="186">
        <f>Q6+Q19+Q22+Q24+Q23+Q26+Q27</f>
        <v>662868</v>
      </c>
      <c r="R33" s="186">
        <f>R6+R19+R22+R24+R23+R25+R26+R27</f>
        <v>652689</v>
      </c>
      <c r="S33" s="183">
        <f t="shared" si="7"/>
        <v>-0.0153559984793353</v>
      </c>
      <c r="T33" s="183">
        <f t="shared" si="8"/>
        <v>0.127789498784414</v>
      </c>
      <c r="U33" s="192">
        <f t="shared" si="9"/>
        <v>73956</v>
      </c>
      <c r="V33" s="182">
        <f t="shared" si="10"/>
        <v>-10179</v>
      </c>
      <c r="X33" s="188">
        <f>G33-R33</f>
        <v>-45614.3300000001</v>
      </c>
    </row>
    <row r="34" ht="23.1" customHeight="1" spans="1:22">
      <c r="A34" s="187" t="s">
        <v>103</v>
      </c>
      <c r="B34" s="186"/>
      <c r="C34" s="186"/>
      <c r="D34" s="186">
        <f>-O34-D35</f>
        <v>11821</v>
      </c>
      <c r="E34" s="186">
        <f>-P34-E35</f>
        <v>0</v>
      </c>
      <c r="F34" s="186">
        <f>-Q34-F35</f>
        <v>37838</v>
      </c>
      <c r="G34" s="207">
        <f>-R34-G35</f>
        <v>8899.33000000007</v>
      </c>
      <c r="H34" s="183">
        <f t="shared" si="3"/>
        <v>-0.764804429409586</v>
      </c>
      <c r="I34" s="183"/>
      <c r="J34" s="183"/>
      <c r="K34" s="182">
        <f t="shared" si="15"/>
        <v>-28938.6699999999</v>
      </c>
      <c r="L34" s="179" t="s">
        <v>104</v>
      </c>
      <c r="M34" s="186">
        <f>B33-M33</f>
        <v>-62579</v>
      </c>
      <c r="N34" s="186">
        <v>-65500</v>
      </c>
      <c r="O34" s="186">
        <f>D33-O33</f>
        <v>-49466</v>
      </c>
      <c r="P34" s="186">
        <v>-62579</v>
      </c>
      <c r="Q34" s="186">
        <f>F33-Q33</f>
        <v>-67703</v>
      </c>
      <c r="R34" s="186">
        <f>G33-R33</f>
        <v>-45614.3300000001</v>
      </c>
      <c r="S34" s="183">
        <f t="shared" si="7"/>
        <v>-0.326258363735727</v>
      </c>
      <c r="T34" s="183">
        <f t="shared" si="8"/>
        <v>-0.303598015267174</v>
      </c>
      <c r="U34" s="192">
        <f t="shared" si="9"/>
        <v>19885.6699999999</v>
      </c>
      <c r="V34" s="182">
        <f t="shared" si="10"/>
        <v>22088.6699999999</v>
      </c>
    </row>
    <row r="35" ht="33.95" customHeight="1" spans="1:22">
      <c r="A35" s="187" t="s">
        <v>105</v>
      </c>
      <c r="B35" s="186">
        <v>62579</v>
      </c>
      <c r="C35" s="186">
        <v>97587</v>
      </c>
      <c r="D35" s="186">
        <f>基金收支平衡调整!O21</f>
        <v>37645</v>
      </c>
      <c r="E35" s="186">
        <v>62579</v>
      </c>
      <c r="F35" s="186">
        <f>基金收支平衡调整!Q21</f>
        <v>29865</v>
      </c>
      <c r="G35" s="207">
        <f>基金收支平衡调整!R21</f>
        <v>36715</v>
      </c>
      <c r="H35" s="183">
        <f t="shared" si="3"/>
        <v>0.229365477984263</v>
      </c>
      <c r="I35" s="183">
        <f t="shared" si="4"/>
        <v>-0.62377160892332</v>
      </c>
      <c r="J35" s="183"/>
      <c r="K35" s="182">
        <f t="shared" si="15"/>
        <v>6850</v>
      </c>
      <c r="L35" s="187" t="s">
        <v>106</v>
      </c>
      <c r="M35" s="186">
        <f t="shared" ref="M35:R35" si="21">B34+B35+M34</f>
        <v>0</v>
      </c>
      <c r="N35" s="186">
        <f t="shared" si="21"/>
        <v>32087</v>
      </c>
      <c r="O35" s="186">
        <f t="shared" si="21"/>
        <v>0</v>
      </c>
      <c r="P35" s="186">
        <f t="shared" si="21"/>
        <v>0</v>
      </c>
      <c r="Q35" s="186">
        <f t="shared" si="21"/>
        <v>0</v>
      </c>
      <c r="R35" s="186">
        <f t="shared" si="21"/>
        <v>0</v>
      </c>
      <c r="S35" s="183"/>
      <c r="T35" s="183">
        <f t="shared" si="8"/>
        <v>-1</v>
      </c>
      <c r="U35" s="192">
        <f t="shared" si="9"/>
        <v>-32087</v>
      </c>
      <c r="V35" s="182">
        <f t="shared" si="10"/>
        <v>0</v>
      </c>
    </row>
    <row r="36" spans="24:24">
      <c r="X36" s="216">
        <f>R33-R31</f>
        <v>52145</v>
      </c>
    </row>
    <row r="37" customHeight="1" spans="17:24">
      <c r="Q37" s="217">
        <f>Q27/Q31</f>
        <v>0.0887541675081961</v>
      </c>
      <c r="R37" s="217">
        <f>R27/R31</f>
        <v>0.0367550087920286</v>
      </c>
      <c r="S37" s="217"/>
      <c r="T37" s="217"/>
      <c r="U37" s="217"/>
      <c r="X37" s="216">
        <f>R23+R25+R27+R26</f>
        <v>52145</v>
      </c>
    </row>
    <row r="38" spans="2:2">
      <c r="B38" s="208"/>
    </row>
    <row r="39" spans="4:7">
      <c r="D39" s="209"/>
      <c r="G39" s="210"/>
    </row>
    <row r="40" spans="4:18">
      <c r="D40" s="208"/>
      <c r="G40" s="210">
        <v>652691</v>
      </c>
      <c r="R40" s="188"/>
    </row>
    <row r="41" spans="7:7">
      <c r="G41" s="210">
        <f>G40-G33</f>
        <v>45616.3300000001</v>
      </c>
    </row>
    <row r="42" spans="18:18">
      <c r="R42" s="188"/>
    </row>
    <row r="43" spans="18:18">
      <c r="R43" s="216">
        <f>R31+基金收支平衡调整!R18</f>
        <v>780298</v>
      </c>
    </row>
    <row r="44" spans="7:18">
      <c r="G44" s="210"/>
      <c r="R44" s="188"/>
    </row>
    <row r="45" spans="18:20">
      <c r="R45" s="188"/>
      <c r="T45" s="188"/>
    </row>
    <row r="46" spans="7:20">
      <c r="G46" s="210"/>
      <c r="R46" s="188"/>
      <c r="T46" s="188"/>
    </row>
    <row r="47" spans="18:18">
      <c r="R47" s="188"/>
    </row>
    <row r="48" spans="18:18">
      <c r="R48" s="188"/>
    </row>
    <row r="49" spans="18:18">
      <c r="R49" s="188"/>
    </row>
    <row r="50" spans="18:18">
      <c r="R50" s="188"/>
    </row>
    <row r="51" spans="18:18">
      <c r="R51" s="188"/>
    </row>
    <row r="52" spans="18:18">
      <c r="R52" s="188"/>
    </row>
    <row r="53" spans="18:18">
      <c r="R53" s="188"/>
    </row>
  </sheetData>
  <mergeCells count="4">
    <mergeCell ref="A2:V2"/>
    <mergeCell ref="M3:V3"/>
    <mergeCell ref="A4:K4"/>
    <mergeCell ref="L4:V4"/>
  </mergeCells>
  <printOptions horizontalCentered="1"/>
  <pageMargins left="0.393700787401575" right="0.393700787401575" top="0.590551181102362" bottom="0.47244094488189" header="0" footer="0.196850393700787"/>
  <pageSetup paperSize="9" scale="57"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AB33"/>
  <sheetViews>
    <sheetView showZeros="0" zoomScale="70" zoomScaleNormal="70" workbookViewId="0">
      <selection activeCell="A10" sqref="A$1:A$1048576"/>
    </sheetView>
  </sheetViews>
  <sheetFormatPr defaultColWidth="9" defaultRowHeight="14.25"/>
  <cols>
    <col min="1" max="1" width="32.625" style="174" customWidth="1"/>
    <col min="2" max="2" width="12" style="174" customWidth="1"/>
    <col min="3" max="4" width="11.875" style="174" hidden="1" customWidth="1"/>
    <col min="5" max="7" width="12" style="174" customWidth="1"/>
    <col min="8" max="8" width="11.375" style="174" customWidth="1"/>
    <col min="9" max="10" width="11.875" style="174" hidden="1" customWidth="1"/>
    <col min="11" max="11" width="10.75" style="174" customWidth="1"/>
    <col min="12" max="12" width="32.625" style="174" customWidth="1"/>
    <col min="13" max="13" width="12" style="174" customWidth="1"/>
    <col min="14" max="15" width="11.875" style="174" hidden="1" customWidth="1"/>
    <col min="16" max="18" width="12" style="174" customWidth="1"/>
    <col min="19" max="19" width="11.375" style="174" customWidth="1"/>
    <col min="20" max="21" width="11.875" style="174" hidden="1" customWidth="1"/>
    <col min="22" max="22" width="10.75" style="174" customWidth="1"/>
    <col min="23" max="23" width="9" style="174"/>
    <col min="24" max="24" width="19" style="174" customWidth="1"/>
    <col min="25" max="25" width="10.125" style="174" customWidth="1"/>
    <col min="26" max="16384" width="9" style="174"/>
  </cols>
  <sheetData>
    <row r="1" ht="20.1" customHeight="1" spans="1:22">
      <c r="A1" s="175" t="s">
        <v>107</v>
      </c>
      <c r="B1" s="176"/>
      <c r="C1" s="176"/>
      <c r="D1" s="176"/>
      <c r="E1" s="176"/>
      <c r="F1" s="176"/>
      <c r="G1" s="176"/>
      <c r="H1" s="176"/>
      <c r="I1" s="176"/>
      <c r="J1" s="176"/>
      <c r="K1" s="176"/>
      <c r="L1" s="176"/>
      <c r="M1" s="176"/>
      <c r="N1" s="176"/>
      <c r="O1" s="176"/>
      <c r="P1" s="176"/>
      <c r="Q1" s="176"/>
      <c r="R1" s="176"/>
      <c r="S1" s="176"/>
      <c r="T1" s="176"/>
      <c r="U1" s="176"/>
      <c r="V1" s="176"/>
    </row>
    <row r="2" ht="32.25" customHeight="1" spans="1:22">
      <c r="A2" s="177" t="s">
        <v>108</v>
      </c>
      <c r="B2" s="177"/>
      <c r="C2" s="177"/>
      <c r="D2" s="177"/>
      <c r="E2" s="177"/>
      <c r="F2" s="177"/>
      <c r="G2" s="177"/>
      <c r="H2" s="177"/>
      <c r="I2" s="177"/>
      <c r="J2" s="177"/>
      <c r="K2" s="177"/>
      <c r="L2" s="177"/>
      <c r="M2" s="177"/>
      <c r="N2" s="177"/>
      <c r="O2" s="177"/>
      <c r="P2" s="177"/>
      <c r="Q2" s="177"/>
      <c r="R2" s="177"/>
      <c r="S2" s="177"/>
      <c r="T2" s="177"/>
      <c r="U2" s="177"/>
      <c r="V2" s="177"/>
    </row>
    <row r="3" ht="23.25" customHeight="1" spans="1:22">
      <c r="A3" s="176"/>
      <c r="B3" s="176"/>
      <c r="C3" s="176"/>
      <c r="D3" s="176"/>
      <c r="E3" s="176"/>
      <c r="F3" s="176"/>
      <c r="G3" s="176"/>
      <c r="H3" s="176"/>
      <c r="I3" s="176"/>
      <c r="J3" s="176"/>
      <c r="K3" s="176"/>
      <c r="L3" s="176"/>
      <c r="M3" s="191"/>
      <c r="N3" s="191"/>
      <c r="O3" s="191"/>
      <c r="P3" s="191"/>
      <c r="Q3" s="191"/>
      <c r="R3" s="191"/>
      <c r="S3" s="191"/>
      <c r="T3" s="191"/>
      <c r="U3" s="191"/>
      <c r="V3" s="194" t="s">
        <v>2</v>
      </c>
    </row>
    <row r="4" ht="30" customHeight="1" spans="1:22">
      <c r="A4" s="178" t="s">
        <v>41</v>
      </c>
      <c r="B4" s="178"/>
      <c r="C4" s="178"/>
      <c r="D4" s="178"/>
      <c r="E4" s="178"/>
      <c r="F4" s="178"/>
      <c r="G4" s="178"/>
      <c r="H4" s="178"/>
      <c r="I4" s="178"/>
      <c r="J4" s="178"/>
      <c r="K4" s="178"/>
      <c r="L4" s="178" t="s">
        <v>42</v>
      </c>
      <c r="M4" s="178"/>
      <c r="N4" s="178"/>
      <c r="O4" s="178"/>
      <c r="P4" s="178"/>
      <c r="Q4" s="178"/>
      <c r="R4" s="178"/>
      <c r="S4" s="178"/>
      <c r="T4" s="178"/>
      <c r="U4" s="178"/>
      <c r="V4" s="178"/>
    </row>
    <row r="5" ht="39.95" customHeight="1" spans="1:27">
      <c r="A5" s="179" t="s">
        <v>43</v>
      </c>
      <c r="B5" s="180" t="s">
        <v>44</v>
      </c>
      <c r="C5" s="180" t="s">
        <v>45</v>
      </c>
      <c r="D5" s="180" t="s">
        <v>5</v>
      </c>
      <c r="E5" s="180" t="s">
        <v>46</v>
      </c>
      <c r="F5" s="180" t="s">
        <v>47</v>
      </c>
      <c r="G5" s="180" t="s">
        <v>48</v>
      </c>
      <c r="H5" s="180" t="s">
        <v>49</v>
      </c>
      <c r="I5" s="180" t="s">
        <v>50</v>
      </c>
      <c r="J5" s="180" t="s">
        <v>51</v>
      </c>
      <c r="K5" s="180" t="s">
        <v>52</v>
      </c>
      <c r="L5" s="187" t="s">
        <v>43</v>
      </c>
      <c r="M5" s="180" t="s">
        <v>44</v>
      </c>
      <c r="N5" s="180" t="s">
        <v>45</v>
      </c>
      <c r="O5" s="180" t="s">
        <v>5</v>
      </c>
      <c r="P5" s="180" t="s">
        <v>46</v>
      </c>
      <c r="Q5" s="180" t="s">
        <v>47</v>
      </c>
      <c r="R5" s="180" t="s">
        <v>48</v>
      </c>
      <c r="S5" s="180" t="s">
        <v>49</v>
      </c>
      <c r="T5" s="180" t="s">
        <v>50</v>
      </c>
      <c r="U5" s="180" t="s">
        <v>51</v>
      </c>
      <c r="V5" s="180" t="s">
        <v>52</v>
      </c>
      <c r="AA5" s="188"/>
    </row>
    <row r="6" ht="39.95" customHeight="1" spans="1:27">
      <c r="A6" s="181" t="s">
        <v>109</v>
      </c>
      <c r="B6" s="182">
        <f t="shared" ref="B6:G6" si="0">SUM(B7:B12)</f>
        <v>124600</v>
      </c>
      <c r="C6" s="182">
        <f t="shared" si="0"/>
        <v>169421</v>
      </c>
      <c r="D6" s="182">
        <f t="shared" si="0"/>
        <v>77811</v>
      </c>
      <c r="E6" s="182">
        <f t="shared" si="0"/>
        <v>124600</v>
      </c>
      <c r="F6" s="182">
        <f t="shared" si="0"/>
        <v>92250</v>
      </c>
      <c r="G6" s="182">
        <f t="shared" si="0"/>
        <v>93021</v>
      </c>
      <c r="H6" s="183">
        <f>(G6-F6)/F6</f>
        <v>0.00835772357723577</v>
      </c>
      <c r="I6" s="183">
        <f>(G6-C6)/C6</f>
        <v>-0.450947639312718</v>
      </c>
      <c r="J6" s="192">
        <f>G6-C6</f>
        <v>-76400</v>
      </c>
      <c r="K6" s="182">
        <f>G6-F6</f>
        <v>771</v>
      </c>
      <c r="L6" s="184" t="s">
        <v>110</v>
      </c>
      <c r="M6" s="182">
        <f>SUM(M7:M9)</f>
        <v>62021</v>
      </c>
      <c r="N6" s="182">
        <f>SUM(N7:N9)</f>
        <v>72576</v>
      </c>
      <c r="O6" s="182">
        <f>SUM(O7:O9)</f>
        <v>50179</v>
      </c>
      <c r="P6" s="182">
        <f>SUM(P7:P9)</f>
        <v>62021</v>
      </c>
      <c r="Q6" s="182">
        <f>SUM(Q7:Q9)</f>
        <v>63056</v>
      </c>
      <c r="R6" s="182">
        <f>SUM(R7:R10)</f>
        <v>58086</v>
      </c>
      <c r="S6" s="183">
        <f>(R6-Q6)/Q6</f>
        <v>-0.0788188277087034</v>
      </c>
      <c r="T6" s="183">
        <f>(R6-N6)/N6</f>
        <v>-0.199652777777778</v>
      </c>
      <c r="U6" s="192">
        <f>R6-N6</f>
        <v>-14490</v>
      </c>
      <c r="V6" s="182">
        <f>R6-Q6</f>
        <v>-4970</v>
      </c>
      <c r="Y6" s="188"/>
      <c r="AA6" s="188"/>
    </row>
    <row r="7" ht="39.95" customHeight="1" spans="1:28">
      <c r="A7" s="184" t="s">
        <v>111</v>
      </c>
      <c r="B7" s="182">
        <v>110000</v>
      </c>
      <c r="C7" s="182">
        <v>149423</v>
      </c>
      <c r="D7" s="182">
        <v>42948</v>
      </c>
      <c r="E7" s="182">
        <v>110000</v>
      </c>
      <c r="F7" s="182">
        <f>D7+502+378+885+10000</f>
        <v>54713</v>
      </c>
      <c r="G7" s="182">
        <v>54932</v>
      </c>
      <c r="H7" s="183">
        <f t="shared" ref="H7:H21" si="1">(G7-F7)/F7</f>
        <v>0.00400270502440005</v>
      </c>
      <c r="I7" s="183">
        <f t="shared" ref="I7:I21" si="2">(G7-C7)/C7</f>
        <v>-0.632372526317903</v>
      </c>
      <c r="J7" s="192">
        <f t="shared" ref="J7:J21" si="3">G7-C7</f>
        <v>-94491</v>
      </c>
      <c r="K7" s="182">
        <f>G7-F7</f>
        <v>219</v>
      </c>
      <c r="L7" s="184" t="s">
        <v>112</v>
      </c>
      <c r="M7" s="182">
        <f>61021-400+1000</f>
        <v>61621</v>
      </c>
      <c r="N7" s="182">
        <v>72214</v>
      </c>
      <c r="O7" s="182">
        <v>50179</v>
      </c>
      <c r="P7" s="182">
        <f>61021-400+1000</f>
        <v>61621</v>
      </c>
      <c r="Q7" s="182">
        <v>54713</v>
      </c>
      <c r="R7" s="182">
        <f>57623-3000</f>
        <v>54623</v>
      </c>
      <c r="S7" s="183">
        <f t="shared" ref="S7:S21" si="4">(R7-Q7)/Q7</f>
        <v>-0.00164494727030139</v>
      </c>
      <c r="T7" s="183">
        <f t="shared" ref="T7:T20" si="5">(R7-N7)/N7</f>
        <v>-0.24359542470989</v>
      </c>
      <c r="U7" s="192">
        <f t="shared" ref="U7:U21" si="6">R7-N7</f>
        <v>-17591</v>
      </c>
      <c r="V7" s="182">
        <f t="shared" ref="V7:V21" si="7">R7-Q7</f>
        <v>-90</v>
      </c>
      <c r="X7" s="188"/>
      <c r="AA7" s="188"/>
      <c r="AB7" s="188"/>
    </row>
    <row r="8" ht="39.95" customHeight="1" spans="1:27">
      <c r="A8" s="184" t="s">
        <v>113</v>
      </c>
      <c r="B8" s="182">
        <v>11000</v>
      </c>
      <c r="C8" s="182">
        <v>12549</v>
      </c>
      <c r="D8" s="182">
        <v>33568</v>
      </c>
      <c r="E8" s="182">
        <v>11000</v>
      </c>
      <c r="F8" s="182">
        <f>D8+2324</f>
        <v>35892</v>
      </c>
      <c r="G8" s="182">
        <v>35945</v>
      </c>
      <c r="H8" s="183">
        <f t="shared" si="1"/>
        <v>0.0014766521787585</v>
      </c>
      <c r="I8" s="183">
        <f t="shared" si="2"/>
        <v>1.86437166308072</v>
      </c>
      <c r="J8" s="192">
        <f t="shared" si="3"/>
        <v>23396</v>
      </c>
      <c r="K8" s="182">
        <f t="shared" ref="K8:K21" si="8">G8-F8</f>
        <v>53</v>
      </c>
      <c r="L8" s="184" t="s">
        <v>114</v>
      </c>
      <c r="M8" s="182"/>
      <c r="N8" s="182"/>
      <c r="O8" s="182"/>
      <c r="P8" s="182"/>
      <c r="Q8" s="182">
        <v>8166</v>
      </c>
      <c r="R8" s="182">
        <v>3000</v>
      </c>
      <c r="S8" s="183">
        <f t="shared" si="4"/>
        <v>-0.632623071271124</v>
      </c>
      <c r="T8" s="183"/>
      <c r="U8" s="192">
        <f t="shared" si="6"/>
        <v>3000</v>
      </c>
      <c r="V8" s="182">
        <f t="shared" si="7"/>
        <v>-5166</v>
      </c>
      <c r="X8" s="188"/>
      <c r="Z8" s="188"/>
      <c r="AA8" s="188"/>
    </row>
    <row r="9" ht="39.95" customHeight="1" spans="1:27">
      <c r="A9" s="184" t="s">
        <v>115</v>
      </c>
      <c r="B9" s="182">
        <v>400</v>
      </c>
      <c r="C9" s="182">
        <f>258+104</f>
        <v>362</v>
      </c>
      <c r="D9" s="182">
        <v>177</v>
      </c>
      <c r="E9" s="182">
        <v>400</v>
      </c>
      <c r="F9" s="182">
        <f>D9</f>
        <v>177</v>
      </c>
      <c r="G9" s="182">
        <v>177</v>
      </c>
      <c r="H9" s="183">
        <f t="shared" ref="H9" si="9">(G9-F9)/F9</f>
        <v>0</v>
      </c>
      <c r="I9" s="183">
        <f t="shared" ref="I9" si="10">(G9-C9)/C9</f>
        <v>-0.511049723756906</v>
      </c>
      <c r="J9" s="192">
        <f t="shared" ref="J9" si="11">G9-C9</f>
        <v>-185</v>
      </c>
      <c r="K9" s="182">
        <f t="shared" ref="K9" si="12">G9-F9</f>
        <v>0</v>
      </c>
      <c r="L9" s="184" t="s">
        <v>116</v>
      </c>
      <c r="M9" s="182">
        <v>400</v>
      </c>
      <c r="N9" s="182">
        <f>258+104</f>
        <v>362</v>
      </c>
      <c r="O9" s="182"/>
      <c r="P9" s="182">
        <v>400</v>
      </c>
      <c r="Q9" s="182">
        <v>177</v>
      </c>
      <c r="R9" s="182">
        <v>177</v>
      </c>
      <c r="S9" s="183">
        <f t="shared" si="4"/>
        <v>0</v>
      </c>
      <c r="T9" s="183">
        <f t="shared" si="5"/>
        <v>-0.511049723756906</v>
      </c>
      <c r="U9" s="192">
        <f t="shared" si="6"/>
        <v>-185</v>
      </c>
      <c r="V9" s="182">
        <f t="shared" si="7"/>
        <v>0</v>
      </c>
      <c r="X9" s="188"/>
      <c r="AA9" s="188"/>
    </row>
    <row r="10" ht="39.95" customHeight="1" spans="1:27">
      <c r="A10" s="184" t="s">
        <v>117</v>
      </c>
      <c r="B10" s="182"/>
      <c r="C10" s="182"/>
      <c r="D10" s="182"/>
      <c r="E10" s="182"/>
      <c r="F10" s="182"/>
      <c r="G10" s="182">
        <v>286</v>
      </c>
      <c r="H10" s="183"/>
      <c r="I10" s="183"/>
      <c r="J10" s="192">
        <f t="shared" si="3"/>
        <v>286</v>
      </c>
      <c r="K10" s="182">
        <f t="shared" ref="K10" si="13">G10-F10</f>
        <v>286</v>
      </c>
      <c r="L10" s="184" t="s">
        <v>118</v>
      </c>
      <c r="M10" s="182"/>
      <c r="N10" s="182"/>
      <c r="O10" s="182"/>
      <c r="P10" s="182"/>
      <c r="Q10" s="182"/>
      <c r="R10" s="182">
        <v>286</v>
      </c>
      <c r="S10" s="183"/>
      <c r="T10" s="183"/>
      <c r="U10" s="192">
        <f t="shared" si="6"/>
        <v>286</v>
      </c>
      <c r="V10" s="182">
        <f t="shared" si="7"/>
        <v>286</v>
      </c>
      <c r="X10" s="188"/>
      <c r="AA10" s="188"/>
    </row>
    <row r="11" ht="39.95" customHeight="1" spans="1:27">
      <c r="A11" s="184" t="s">
        <v>119</v>
      </c>
      <c r="B11" s="182">
        <v>1200</v>
      </c>
      <c r="C11" s="182">
        <v>1115</v>
      </c>
      <c r="D11" s="182">
        <v>968</v>
      </c>
      <c r="E11" s="182">
        <v>1200</v>
      </c>
      <c r="F11" s="182">
        <f>D11+350</f>
        <v>1318</v>
      </c>
      <c r="G11" s="182">
        <v>1305</v>
      </c>
      <c r="H11" s="183">
        <f t="shared" si="1"/>
        <v>-0.00986342943854325</v>
      </c>
      <c r="I11" s="183">
        <f t="shared" si="2"/>
        <v>0.170403587443946</v>
      </c>
      <c r="J11" s="192">
        <f t="shared" si="3"/>
        <v>190</v>
      </c>
      <c r="K11" s="182">
        <f t="shared" si="8"/>
        <v>-13</v>
      </c>
      <c r="L11" s="184" t="s">
        <v>120</v>
      </c>
      <c r="M11" s="182">
        <v>24253</v>
      </c>
      <c r="N11" s="182">
        <v>1343</v>
      </c>
      <c r="O11" s="182">
        <f>59883-54987</f>
        <v>4896</v>
      </c>
      <c r="P11" s="182">
        <v>24253</v>
      </c>
      <c r="Q11" s="182">
        <f>O11+833</f>
        <v>5729</v>
      </c>
      <c r="R11" s="182">
        <f>102545-65000</f>
        <v>37545</v>
      </c>
      <c r="S11" s="183">
        <f t="shared" si="4"/>
        <v>5.5534997381742</v>
      </c>
      <c r="T11" s="183">
        <f t="shared" si="5"/>
        <v>26.9560685033507</v>
      </c>
      <c r="U11" s="192">
        <f t="shared" si="6"/>
        <v>36202</v>
      </c>
      <c r="V11" s="182">
        <f t="shared" si="7"/>
        <v>31816</v>
      </c>
      <c r="AA11" s="188"/>
    </row>
    <row r="12" ht="39.95" customHeight="1" spans="1:27">
      <c r="A12" s="184" t="s">
        <v>121</v>
      </c>
      <c r="B12" s="182">
        <v>2000</v>
      </c>
      <c r="C12" s="182">
        <v>5972</v>
      </c>
      <c r="D12" s="182">
        <v>150</v>
      </c>
      <c r="E12" s="182">
        <v>2000</v>
      </c>
      <c r="F12" s="182">
        <f>D12</f>
        <v>150</v>
      </c>
      <c r="G12" s="182">
        <v>376</v>
      </c>
      <c r="H12" s="183">
        <f t="shared" si="1"/>
        <v>1.50666666666667</v>
      </c>
      <c r="I12" s="183">
        <f t="shared" si="2"/>
        <v>-0.937039517749498</v>
      </c>
      <c r="J12" s="192">
        <f t="shared" si="3"/>
        <v>-5596</v>
      </c>
      <c r="K12" s="182">
        <f t="shared" si="8"/>
        <v>226</v>
      </c>
      <c r="L12" s="184" t="s">
        <v>122</v>
      </c>
      <c r="M12" s="182">
        <v>40000</v>
      </c>
      <c r="N12" s="182">
        <v>70000</v>
      </c>
      <c r="O12" s="182">
        <v>54987</v>
      </c>
      <c r="P12" s="182">
        <v>65000</v>
      </c>
      <c r="Q12" s="182">
        <v>65000</v>
      </c>
      <c r="R12" s="182">
        <v>65000</v>
      </c>
      <c r="S12" s="183">
        <f t="shared" si="4"/>
        <v>0</v>
      </c>
      <c r="T12" s="183">
        <f t="shared" si="5"/>
        <v>-0.0714285714285714</v>
      </c>
      <c r="U12" s="192">
        <f t="shared" si="6"/>
        <v>-5000</v>
      </c>
      <c r="V12" s="182">
        <f t="shared" si="7"/>
        <v>0</v>
      </c>
      <c r="AA12" s="188"/>
    </row>
    <row r="13" ht="39.95" customHeight="1" spans="1:27">
      <c r="A13" s="181" t="s">
        <v>123</v>
      </c>
      <c r="B13" s="182">
        <v>24253</v>
      </c>
      <c r="C13" s="182">
        <v>24448</v>
      </c>
      <c r="D13" s="182">
        <f>92147-65000</f>
        <v>27147</v>
      </c>
      <c r="E13" s="182">
        <v>24253</v>
      </c>
      <c r="F13" s="182">
        <f>D13+12000</f>
        <v>39147</v>
      </c>
      <c r="G13" s="182">
        <f>104118-65000</f>
        <v>39118</v>
      </c>
      <c r="H13" s="183">
        <f t="shared" si="1"/>
        <v>-0.000740797506833218</v>
      </c>
      <c r="I13" s="183">
        <f t="shared" si="2"/>
        <v>0.600049083769634</v>
      </c>
      <c r="J13" s="192">
        <f t="shared" si="3"/>
        <v>14670</v>
      </c>
      <c r="K13" s="182">
        <f t="shared" si="8"/>
        <v>-29</v>
      </c>
      <c r="L13" s="184" t="s">
        <v>124</v>
      </c>
      <c r="M13" s="182">
        <v>25049</v>
      </c>
      <c r="N13" s="182">
        <v>11482</v>
      </c>
      <c r="O13" s="182">
        <v>16399</v>
      </c>
      <c r="P13" s="182">
        <v>25049</v>
      </c>
      <c r="Q13" s="182">
        <f>O13+1400</f>
        <v>17799</v>
      </c>
      <c r="R13" s="182">
        <f>19222-99</f>
        <v>19123</v>
      </c>
      <c r="S13" s="183">
        <f t="shared" si="4"/>
        <v>0.0743862014719928</v>
      </c>
      <c r="T13" s="183">
        <f t="shared" si="5"/>
        <v>0.665476397840097</v>
      </c>
      <c r="U13" s="192">
        <f t="shared" si="6"/>
        <v>7641</v>
      </c>
      <c r="V13" s="182">
        <f t="shared" si="7"/>
        <v>1324</v>
      </c>
      <c r="Z13" s="188"/>
      <c r="AA13" s="188"/>
    </row>
    <row r="14" ht="39.95" customHeight="1" spans="1:27">
      <c r="A14" s="181" t="s">
        <v>125</v>
      </c>
      <c r="B14" s="182">
        <v>40000</v>
      </c>
      <c r="C14" s="182">
        <v>70000</v>
      </c>
      <c r="D14" s="182">
        <v>65000</v>
      </c>
      <c r="E14" s="182">
        <v>65000</v>
      </c>
      <c r="F14" s="182">
        <f>D14</f>
        <v>65000</v>
      </c>
      <c r="G14" s="182">
        <v>65000</v>
      </c>
      <c r="H14" s="183">
        <f t="shared" si="1"/>
        <v>0</v>
      </c>
      <c r="I14" s="183">
        <f t="shared" si="2"/>
        <v>-0.0714285714285714</v>
      </c>
      <c r="J14" s="192">
        <f t="shared" si="3"/>
        <v>-5000</v>
      </c>
      <c r="K14" s="182">
        <f t="shared" si="8"/>
        <v>0</v>
      </c>
      <c r="L14" s="193" t="s">
        <v>126</v>
      </c>
      <c r="M14" s="182">
        <f>SUM(M15:M16)</f>
        <v>0</v>
      </c>
      <c r="N14" s="182">
        <f>SUM(N15:N16)</f>
        <v>25049</v>
      </c>
      <c r="O14" s="182">
        <f>O15+O16</f>
        <v>30779</v>
      </c>
      <c r="P14" s="182">
        <f>SUM(P15:P16)</f>
        <v>0</v>
      </c>
      <c r="Q14" s="182">
        <f>Q15+Q16</f>
        <v>39875</v>
      </c>
      <c r="R14" s="182">
        <f>SUM(R15:R16)</f>
        <v>5455</v>
      </c>
      <c r="S14" s="183">
        <f t="shared" si="4"/>
        <v>-0.863197492163009</v>
      </c>
      <c r="T14" s="183">
        <f t="shared" si="5"/>
        <v>-0.782226835402611</v>
      </c>
      <c r="U14" s="192">
        <f t="shared" si="6"/>
        <v>-19594</v>
      </c>
      <c r="V14" s="182">
        <f t="shared" si="7"/>
        <v>-34420</v>
      </c>
      <c r="Y14" s="188"/>
      <c r="AA14" s="188"/>
    </row>
    <row r="15" ht="39.95" customHeight="1" spans="1:27">
      <c r="A15" s="181" t="s">
        <v>127</v>
      </c>
      <c r="B15" s="182">
        <f>B16+B17+B18</f>
        <v>25049</v>
      </c>
      <c r="C15" s="182">
        <f>C16+C17+C18</f>
        <v>14168</v>
      </c>
      <c r="D15" s="182">
        <f>D16+D17+D18</f>
        <v>24927</v>
      </c>
      <c r="E15" s="182">
        <f>E16+E17+E18</f>
        <v>25049</v>
      </c>
      <c r="F15" s="182">
        <f>D15</f>
        <v>24927</v>
      </c>
      <c r="G15" s="182">
        <f>G16+G17+G18</f>
        <v>24785</v>
      </c>
      <c r="H15" s="183">
        <f t="shared" si="1"/>
        <v>-0.0056966341717816</v>
      </c>
      <c r="I15" s="183">
        <f t="shared" si="2"/>
        <v>0.749364765669113</v>
      </c>
      <c r="J15" s="192">
        <f t="shared" si="3"/>
        <v>10617</v>
      </c>
      <c r="K15" s="182">
        <f t="shared" si="8"/>
        <v>-142</v>
      </c>
      <c r="L15" s="184" t="s">
        <v>128</v>
      </c>
      <c r="M15" s="182">
        <f t="shared" ref="M15:R15" si="14">B13-M11</f>
        <v>0</v>
      </c>
      <c r="N15" s="182">
        <f t="shared" si="14"/>
        <v>23105</v>
      </c>
      <c r="O15" s="182">
        <f t="shared" si="14"/>
        <v>22251</v>
      </c>
      <c r="P15" s="182">
        <f t="shared" si="14"/>
        <v>0</v>
      </c>
      <c r="Q15" s="182">
        <f t="shared" si="14"/>
        <v>33418</v>
      </c>
      <c r="R15" s="182">
        <f t="shared" si="14"/>
        <v>1573</v>
      </c>
      <c r="S15" s="183">
        <f t="shared" si="4"/>
        <v>-0.952929558920342</v>
      </c>
      <c r="T15" s="183">
        <f t="shared" si="5"/>
        <v>-0.931919497944168</v>
      </c>
      <c r="U15" s="192">
        <f t="shared" si="6"/>
        <v>-21532</v>
      </c>
      <c r="V15" s="182">
        <f t="shared" si="7"/>
        <v>-31845</v>
      </c>
      <c r="AA15" s="188"/>
    </row>
    <row r="16" ht="39.95" customHeight="1" spans="1:27">
      <c r="A16" s="185" t="s">
        <v>83</v>
      </c>
      <c r="B16" s="182">
        <v>25049</v>
      </c>
      <c r="C16" s="182">
        <v>13762</v>
      </c>
      <c r="D16" s="182">
        <v>24959</v>
      </c>
      <c r="E16" s="182">
        <v>25049</v>
      </c>
      <c r="F16" s="182">
        <f>D16-581</f>
        <v>24378</v>
      </c>
      <c r="G16" s="182">
        <f>24959-258-1432</f>
        <v>23269</v>
      </c>
      <c r="H16" s="183">
        <f t="shared" si="1"/>
        <v>-0.0454918369021249</v>
      </c>
      <c r="I16" s="183">
        <f t="shared" si="2"/>
        <v>0.690815288475512</v>
      </c>
      <c r="J16" s="192">
        <f t="shared" si="3"/>
        <v>9507</v>
      </c>
      <c r="K16" s="182">
        <f t="shared" si="8"/>
        <v>-1109</v>
      </c>
      <c r="L16" s="184" t="s">
        <v>129</v>
      </c>
      <c r="M16" s="182">
        <f>B16+B18-M13</f>
        <v>0</v>
      </c>
      <c r="N16" s="182">
        <f>C16+C18-N13</f>
        <v>1944</v>
      </c>
      <c r="O16" s="182">
        <f>D15-O13</f>
        <v>8528</v>
      </c>
      <c r="P16" s="182">
        <f>E16+E18-P13</f>
        <v>0</v>
      </c>
      <c r="Q16" s="182">
        <f>F16+F18-Q13</f>
        <v>6457</v>
      </c>
      <c r="R16" s="182">
        <f>G16+G18-R13</f>
        <v>3882</v>
      </c>
      <c r="S16" s="183">
        <f t="shared" si="4"/>
        <v>-0.398792008672758</v>
      </c>
      <c r="T16" s="183">
        <f t="shared" si="5"/>
        <v>0.996913580246914</v>
      </c>
      <c r="U16" s="192">
        <f t="shared" si="6"/>
        <v>1938</v>
      </c>
      <c r="V16" s="182">
        <f t="shared" si="7"/>
        <v>-2575</v>
      </c>
      <c r="AA16" s="188"/>
    </row>
    <row r="17" ht="39.95" customHeight="1" spans="1:27">
      <c r="A17" s="181" t="s">
        <v>85</v>
      </c>
      <c r="B17" s="182"/>
      <c r="C17" s="182">
        <v>742</v>
      </c>
      <c r="D17" s="182">
        <f>61+29</f>
        <v>90</v>
      </c>
      <c r="E17" s="182"/>
      <c r="F17" s="182">
        <f>61+29+581</f>
        <v>671</v>
      </c>
      <c r="G17" s="182">
        <f>61+29+1690</f>
        <v>1780</v>
      </c>
      <c r="H17" s="183">
        <f t="shared" si="1"/>
        <v>1.65275707898659</v>
      </c>
      <c r="I17" s="183">
        <f t="shared" si="2"/>
        <v>1.3989218328841</v>
      </c>
      <c r="J17" s="192">
        <f t="shared" si="3"/>
        <v>1038</v>
      </c>
      <c r="K17" s="182">
        <f t="shared" si="8"/>
        <v>1109</v>
      </c>
      <c r="L17" s="184"/>
      <c r="M17" s="182"/>
      <c r="N17" s="182"/>
      <c r="O17" s="182"/>
      <c r="P17" s="182"/>
      <c r="Q17" s="182"/>
      <c r="R17" s="182"/>
      <c r="S17" s="183"/>
      <c r="T17" s="183"/>
      <c r="U17" s="192"/>
      <c r="V17" s="182">
        <f t="shared" si="7"/>
        <v>0</v>
      </c>
      <c r="Z17" s="188"/>
      <c r="AA17" s="188"/>
    </row>
    <row r="18" ht="39.95" customHeight="1" spans="1:27">
      <c r="A18" s="181" t="s">
        <v>87</v>
      </c>
      <c r="B18" s="182">
        <v>0</v>
      </c>
      <c r="C18" s="182">
        <v>-336</v>
      </c>
      <c r="D18" s="182">
        <v>-122</v>
      </c>
      <c r="E18" s="182">
        <v>0</v>
      </c>
      <c r="F18" s="182">
        <v>-122</v>
      </c>
      <c r="G18" s="182">
        <v>-264</v>
      </c>
      <c r="H18" s="183">
        <f t="shared" si="1"/>
        <v>1.16393442622951</v>
      </c>
      <c r="I18" s="183">
        <f t="shared" si="2"/>
        <v>-0.214285714285714</v>
      </c>
      <c r="J18" s="192">
        <f t="shared" si="3"/>
        <v>72</v>
      </c>
      <c r="K18" s="182">
        <f t="shared" si="8"/>
        <v>-142</v>
      </c>
      <c r="L18" s="179" t="s">
        <v>130</v>
      </c>
      <c r="M18" s="186">
        <f t="shared" ref="M18:R18" si="15">M6+M11+M12+M13</f>
        <v>151323</v>
      </c>
      <c r="N18" s="186">
        <f t="shared" si="15"/>
        <v>155401</v>
      </c>
      <c r="O18" s="186">
        <f t="shared" si="15"/>
        <v>126461</v>
      </c>
      <c r="P18" s="186">
        <f t="shared" si="15"/>
        <v>176323</v>
      </c>
      <c r="Q18" s="186">
        <f t="shared" si="15"/>
        <v>151584</v>
      </c>
      <c r="R18" s="186">
        <f t="shared" si="15"/>
        <v>179754</v>
      </c>
      <c r="S18" s="183">
        <f t="shared" si="4"/>
        <v>0.185837555414819</v>
      </c>
      <c r="T18" s="183">
        <f t="shared" si="5"/>
        <v>0.156710703277328</v>
      </c>
      <c r="U18" s="192">
        <f t="shared" si="6"/>
        <v>24353</v>
      </c>
      <c r="V18" s="182">
        <f t="shared" si="7"/>
        <v>28170</v>
      </c>
      <c r="AA18" s="188"/>
    </row>
    <row r="19" ht="39.95" customHeight="1" spans="1:24">
      <c r="A19" s="179" t="s">
        <v>131</v>
      </c>
      <c r="B19" s="186">
        <f t="shared" ref="B19:G19" si="16">B6+B17</f>
        <v>124600</v>
      </c>
      <c r="C19" s="186">
        <f t="shared" si="16"/>
        <v>170163</v>
      </c>
      <c r="D19" s="186">
        <f t="shared" si="16"/>
        <v>77901</v>
      </c>
      <c r="E19" s="186">
        <f t="shared" si="16"/>
        <v>124600</v>
      </c>
      <c r="F19" s="186">
        <f t="shared" si="16"/>
        <v>92921</v>
      </c>
      <c r="G19" s="186">
        <f t="shared" si="16"/>
        <v>94801</v>
      </c>
      <c r="H19" s="183">
        <f t="shared" si="1"/>
        <v>0.0202322402901389</v>
      </c>
      <c r="I19" s="183">
        <f t="shared" si="2"/>
        <v>-0.442881237401785</v>
      </c>
      <c r="J19" s="192">
        <f t="shared" si="3"/>
        <v>-75362</v>
      </c>
      <c r="K19" s="182">
        <f t="shared" si="8"/>
        <v>1880</v>
      </c>
      <c r="L19" s="179" t="s">
        <v>132</v>
      </c>
      <c r="M19" s="186">
        <f t="shared" ref="M19:R19" si="17">M6</f>
        <v>62021</v>
      </c>
      <c r="N19" s="186">
        <f t="shared" si="17"/>
        <v>72576</v>
      </c>
      <c r="O19" s="186">
        <f t="shared" si="17"/>
        <v>50179</v>
      </c>
      <c r="P19" s="186">
        <f t="shared" si="17"/>
        <v>62021</v>
      </c>
      <c r="Q19" s="186">
        <f t="shared" si="17"/>
        <v>63056</v>
      </c>
      <c r="R19" s="186">
        <f t="shared" si="17"/>
        <v>58086</v>
      </c>
      <c r="S19" s="183">
        <f t="shared" si="4"/>
        <v>-0.0788188277087034</v>
      </c>
      <c r="T19" s="183">
        <f t="shared" si="5"/>
        <v>-0.199652777777778</v>
      </c>
      <c r="U19" s="192">
        <f t="shared" si="6"/>
        <v>-14490</v>
      </c>
      <c r="V19" s="182">
        <f t="shared" si="7"/>
        <v>-4970</v>
      </c>
      <c r="X19" s="188"/>
    </row>
    <row r="20" ht="39.95" customHeight="1" spans="1:24">
      <c r="A20" s="179" t="s">
        <v>133</v>
      </c>
      <c r="B20" s="186">
        <f>B6+B13+B14+B15</f>
        <v>213902</v>
      </c>
      <c r="C20" s="186">
        <f t="shared" ref="C20:G20" si="18">C6+C13+C14+C15</f>
        <v>278037</v>
      </c>
      <c r="D20" s="186">
        <f t="shared" si="18"/>
        <v>194885</v>
      </c>
      <c r="E20" s="186">
        <f t="shared" si="18"/>
        <v>238902</v>
      </c>
      <c r="F20" s="186">
        <f t="shared" si="18"/>
        <v>221324</v>
      </c>
      <c r="G20" s="186">
        <f t="shared" si="18"/>
        <v>221924</v>
      </c>
      <c r="H20" s="183">
        <f t="shared" si="1"/>
        <v>0.00271095769098697</v>
      </c>
      <c r="I20" s="183">
        <f t="shared" si="2"/>
        <v>-0.201818463010319</v>
      </c>
      <c r="J20" s="192">
        <f t="shared" si="3"/>
        <v>-56113</v>
      </c>
      <c r="K20" s="182">
        <f t="shared" si="8"/>
        <v>600</v>
      </c>
      <c r="L20" s="179" t="s">
        <v>134</v>
      </c>
      <c r="M20" s="186">
        <f>M6+M11+M12+M13+M14</f>
        <v>151323</v>
      </c>
      <c r="N20" s="186">
        <f t="shared" ref="N20:R20" si="19">N6+N11+N12+N13+N14</f>
        <v>180450</v>
      </c>
      <c r="O20" s="186">
        <f t="shared" si="19"/>
        <v>157240</v>
      </c>
      <c r="P20" s="186">
        <f t="shared" si="19"/>
        <v>176323</v>
      </c>
      <c r="Q20" s="186">
        <f t="shared" si="19"/>
        <v>191459</v>
      </c>
      <c r="R20" s="186">
        <f t="shared" si="19"/>
        <v>185209</v>
      </c>
      <c r="S20" s="183">
        <f t="shared" si="4"/>
        <v>-0.0326440647867167</v>
      </c>
      <c r="T20" s="183">
        <f t="shared" si="5"/>
        <v>0.0263729564976448</v>
      </c>
      <c r="U20" s="192">
        <f t="shared" si="6"/>
        <v>4759</v>
      </c>
      <c r="V20" s="182">
        <f t="shared" si="7"/>
        <v>-6250</v>
      </c>
      <c r="X20" s="188">
        <f>G19-R19</f>
        <v>36715</v>
      </c>
    </row>
    <row r="21" ht="39.95" customHeight="1" spans="1:24">
      <c r="A21" s="187" t="s">
        <v>135</v>
      </c>
      <c r="B21" s="186">
        <f t="shared" ref="B21:G21" si="20">B20-M20</f>
        <v>62579</v>
      </c>
      <c r="C21" s="186">
        <f t="shared" si="20"/>
        <v>97587</v>
      </c>
      <c r="D21" s="186">
        <f t="shared" si="20"/>
        <v>37645</v>
      </c>
      <c r="E21" s="186">
        <f t="shared" si="20"/>
        <v>62579</v>
      </c>
      <c r="F21" s="186">
        <f t="shared" si="20"/>
        <v>29865</v>
      </c>
      <c r="G21" s="186">
        <f t="shared" si="20"/>
        <v>36715</v>
      </c>
      <c r="H21" s="183">
        <f t="shared" si="1"/>
        <v>0.229365477984263</v>
      </c>
      <c r="I21" s="183">
        <f t="shared" si="2"/>
        <v>-0.62377160892332</v>
      </c>
      <c r="J21" s="192">
        <f t="shared" si="3"/>
        <v>-60872</v>
      </c>
      <c r="K21" s="182">
        <f t="shared" si="8"/>
        <v>6850</v>
      </c>
      <c r="L21" s="179" t="s">
        <v>136</v>
      </c>
      <c r="M21" s="186">
        <f>B21</f>
        <v>62579</v>
      </c>
      <c r="N21" s="186">
        <f t="shared" ref="N21:R21" si="21">C21</f>
        <v>97587</v>
      </c>
      <c r="O21" s="186">
        <f t="shared" si="21"/>
        <v>37645</v>
      </c>
      <c r="P21" s="186">
        <f t="shared" si="21"/>
        <v>62579</v>
      </c>
      <c r="Q21" s="186">
        <f t="shared" si="21"/>
        <v>29865</v>
      </c>
      <c r="R21" s="186">
        <f t="shared" si="21"/>
        <v>36715</v>
      </c>
      <c r="S21" s="183">
        <f t="shared" si="4"/>
        <v>0.229365477984263</v>
      </c>
      <c r="T21" s="183">
        <f t="shared" ref="T21" si="22">(Q21-N21)/N21</f>
        <v>-0.693965384733622</v>
      </c>
      <c r="U21" s="192">
        <f t="shared" si="6"/>
        <v>-60872</v>
      </c>
      <c r="V21" s="182">
        <f t="shared" si="7"/>
        <v>6850</v>
      </c>
      <c r="X21" s="188">
        <f>G20-R20</f>
        <v>36715</v>
      </c>
    </row>
    <row r="22" ht="45" customHeight="1"/>
    <row r="23" ht="45" customHeight="1" spans="4:18">
      <c r="D23" s="188"/>
      <c r="G23" s="189"/>
      <c r="Q23" s="188"/>
      <c r="R23" s="188">
        <f>R18+一般收支平衡调整!R31</f>
        <v>780298</v>
      </c>
    </row>
    <row r="24" ht="35.1" customHeight="1" spans="7:18">
      <c r="G24" s="190"/>
      <c r="R24" s="188"/>
    </row>
    <row r="25" ht="35.1" customHeight="1"/>
    <row r="26" ht="35.1" customHeight="1"/>
    <row r="27" ht="35.1" customHeight="1"/>
    <row r="28" ht="35.1" customHeight="1"/>
    <row r="29" ht="35.1" customHeight="1"/>
    <row r="30" ht="35.1" customHeight="1"/>
    <row r="31" ht="35.1" customHeight="1"/>
    <row r="32" ht="35.1" customHeight="1"/>
    <row r="33" ht="35.1" customHeight="1"/>
  </sheetData>
  <mergeCells count="3">
    <mergeCell ref="A2:V2"/>
    <mergeCell ref="A4:K4"/>
    <mergeCell ref="L4:V4"/>
  </mergeCells>
  <printOptions horizontalCentered="1"/>
  <pageMargins left="0.393700787401575" right="0.393700787401575" top="0.590551181102362" bottom="0.590551181102362" header="0" footer="0.196850393700787"/>
  <pageSetup paperSize="9" scale="63" fitToHeight="0"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J20"/>
  <sheetViews>
    <sheetView topLeftCell="A5" workbookViewId="0">
      <selection activeCell="A17" sqref="A$1:A$1048576"/>
    </sheetView>
  </sheetViews>
  <sheetFormatPr defaultColWidth="9" defaultRowHeight="14.25"/>
  <cols>
    <col min="1" max="1" width="29.375" style="150" customWidth="1"/>
    <col min="2" max="4" width="10.25" style="150" customWidth="1"/>
    <col min="5" max="5" width="10.25" style="146" customWidth="1"/>
    <col min="6" max="6" width="10.25" style="150" customWidth="1"/>
    <col min="7" max="7" width="10.25" style="151" customWidth="1"/>
    <col min="8" max="8" width="10" style="151" customWidth="1"/>
    <col min="9" max="257" width="9" style="150"/>
    <col min="258" max="258" width="24.25" style="150" customWidth="1"/>
    <col min="259" max="263" width="10.375" style="150" customWidth="1"/>
    <col min="264" max="264" width="9" style="150" hidden="1" customWidth="1"/>
    <col min="265" max="513" width="9" style="150"/>
    <col min="514" max="514" width="24.25" style="150" customWidth="1"/>
    <col min="515" max="519" width="10.375" style="150" customWidth="1"/>
    <col min="520" max="520" width="9" style="150" hidden="1" customWidth="1"/>
    <col min="521" max="769" width="9" style="150"/>
    <col min="770" max="770" width="24.25" style="150" customWidth="1"/>
    <col min="771" max="775" width="10.375" style="150" customWidth="1"/>
    <col min="776" max="776" width="9" style="150" hidden="1" customWidth="1"/>
    <col min="777" max="1025" width="9" style="150"/>
    <col min="1026" max="1026" width="24.25" style="150" customWidth="1"/>
    <col min="1027" max="1031" width="10.375" style="150" customWidth="1"/>
    <col min="1032" max="1032" width="9" style="150" hidden="1" customWidth="1"/>
    <col min="1033" max="1281" width="9" style="150"/>
    <col min="1282" max="1282" width="24.25" style="150" customWidth="1"/>
    <col min="1283" max="1287" width="10.375" style="150" customWidth="1"/>
    <col min="1288" max="1288" width="9" style="150" hidden="1" customWidth="1"/>
    <col min="1289" max="1537" width="9" style="150"/>
    <col min="1538" max="1538" width="24.25" style="150" customWidth="1"/>
    <col min="1539" max="1543" width="10.375" style="150" customWidth="1"/>
    <col min="1544" max="1544" width="9" style="150" hidden="1" customWidth="1"/>
    <col min="1545" max="1793" width="9" style="150"/>
    <col min="1794" max="1794" width="24.25" style="150" customWidth="1"/>
    <col min="1795" max="1799" width="10.375" style="150" customWidth="1"/>
    <col min="1800" max="1800" width="9" style="150" hidden="1" customWidth="1"/>
    <col min="1801" max="2049" width="9" style="150"/>
    <col min="2050" max="2050" width="24.25" style="150" customWidth="1"/>
    <col min="2051" max="2055" width="10.375" style="150" customWidth="1"/>
    <col min="2056" max="2056" width="9" style="150" hidden="1" customWidth="1"/>
    <col min="2057" max="2305" width="9" style="150"/>
    <col min="2306" max="2306" width="24.25" style="150" customWidth="1"/>
    <col min="2307" max="2311" width="10.375" style="150" customWidth="1"/>
    <col min="2312" max="2312" width="9" style="150" hidden="1" customWidth="1"/>
    <col min="2313" max="2561" width="9" style="150"/>
    <col min="2562" max="2562" width="24.25" style="150" customWidth="1"/>
    <col min="2563" max="2567" width="10.375" style="150" customWidth="1"/>
    <col min="2568" max="2568" width="9" style="150" hidden="1" customWidth="1"/>
    <col min="2569" max="2817" width="9" style="150"/>
    <col min="2818" max="2818" width="24.25" style="150" customWidth="1"/>
    <col min="2819" max="2823" width="10.375" style="150" customWidth="1"/>
    <col min="2824" max="2824" width="9" style="150" hidden="1" customWidth="1"/>
    <col min="2825" max="3073" width="9" style="150"/>
    <col min="3074" max="3074" width="24.25" style="150" customWidth="1"/>
    <col min="3075" max="3079" width="10.375" style="150" customWidth="1"/>
    <col min="3080" max="3080" width="9" style="150" hidden="1" customWidth="1"/>
    <col min="3081" max="3329" width="9" style="150"/>
    <col min="3330" max="3330" width="24.25" style="150" customWidth="1"/>
    <col min="3331" max="3335" width="10.375" style="150" customWidth="1"/>
    <col min="3336" max="3336" width="9" style="150" hidden="1" customWidth="1"/>
    <col min="3337" max="3585" width="9" style="150"/>
    <col min="3586" max="3586" width="24.25" style="150" customWidth="1"/>
    <col min="3587" max="3591" width="10.375" style="150" customWidth="1"/>
    <col min="3592" max="3592" width="9" style="150" hidden="1" customWidth="1"/>
    <col min="3593" max="3841" width="9" style="150"/>
    <col min="3842" max="3842" width="24.25" style="150" customWidth="1"/>
    <col min="3843" max="3847" width="10.375" style="150" customWidth="1"/>
    <col min="3848" max="3848" width="9" style="150" hidden="1" customWidth="1"/>
    <col min="3849" max="4097" width="9" style="150"/>
    <col min="4098" max="4098" width="24.25" style="150" customWidth="1"/>
    <col min="4099" max="4103" width="10.375" style="150" customWidth="1"/>
    <col min="4104" max="4104" width="9" style="150" hidden="1" customWidth="1"/>
    <col min="4105" max="4353" width="9" style="150"/>
    <col min="4354" max="4354" width="24.25" style="150" customWidth="1"/>
    <col min="4355" max="4359" width="10.375" style="150" customWidth="1"/>
    <col min="4360" max="4360" width="9" style="150" hidden="1" customWidth="1"/>
    <col min="4361" max="4609" width="9" style="150"/>
    <col min="4610" max="4610" width="24.25" style="150" customWidth="1"/>
    <col min="4611" max="4615" width="10.375" style="150" customWidth="1"/>
    <col min="4616" max="4616" width="9" style="150" hidden="1" customWidth="1"/>
    <col min="4617" max="4865" width="9" style="150"/>
    <col min="4866" max="4866" width="24.25" style="150" customWidth="1"/>
    <col min="4867" max="4871" width="10.375" style="150" customWidth="1"/>
    <col min="4872" max="4872" width="9" style="150" hidden="1" customWidth="1"/>
    <col min="4873" max="5121" width="9" style="150"/>
    <col min="5122" max="5122" width="24.25" style="150" customWidth="1"/>
    <col min="5123" max="5127" width="10.375" style="150" customWidth="1"/>
    <col min="5128" max="5128" width="9" style="150" hidden="1" customWidth="1"/>
    <col min="5129" max="5377" width="9" style="150"/>
    <col min="5378" max="5378" width="24.25" style="150" customWidth="1"/>
    <col min="5379" max="5383" width="10.375" style="150" customWidth="1"/>
    <col min="5384" max="5384" width="9" style="150" hidden="1" customWidth="1"/>
    <col min="5385" max="5633" width="9" style="150"/>
    <col min="5634" max="5634" width="24.25" style="150" customWidth="1"/>
    <col min="5635" max="5639" width="10.375" style="150" customWidth="1"/>
    <col min="5640" max="5640" width="9" style="150" hidden="1" customWidth="1"/>
    <col min="5641" max="5889" width="9" style="150"/>
    <col min="5890" max="5890" width="24.25" style="150" customWidth="1"/>
    <col min="5891" max="5895" width="10.375" style="150" customWidth="1"/>
    <col min="5896" max="5896" width="9" style="150" hidden="1" customWidth="1"/>
    <col min="5897" max="6145" width="9" style="150"/>
    <col min="6146" max="6146" width="24.25" style="150" customWidth="1"/>
    <col min="6147" max="6151" width="10.375" style="150" customWidth="1"/>
    <col min="6152" max="6152" width="9" style="150" hidden="1" customWidth="1"/>
    <col min="6153" max="6401" width="9" style="150"/>
    <col min="6402" max="6402" width="24.25" style="150" customWidth="1"/>
    <col min="6403" max="6407" width="10.375" style="150" customWidth="1"/>
    <col min="6408" max="6408" width="9" style="150" hidden="1" customWidth="1"/>
    <col min="6409" max="6657" width="9" style="150"/>
    <col min="6658" max="6658" width="24.25" style="150" customWidth="1"/>
    <col min="6659" max="6663" width="10.375" style="150" customWidth="1"/>
    <col min="6664" max="6664" width="9" style="150" hidden="1" customWidth="1"/>
    <col min="6665" max="6913" width="9" style="150"/>
    <col min="6914" max="6914" width="24.25" style="150" customWidth="1"/>
    <col min="6915" max="6919" width="10.375" style="150" customWidth="1"/>
    <col min="6920" max="6920" width="9" style="150" hidden="1" customWidth="1"/>
    <col min="6921" max="7169" width="9" style="150"/>
    <col min="7170" max="7170" width="24.25" style="150" customWidth="1"/>
    <col min="7171" max="7175" width="10.375" style="150" customWidth="1"/>
    <col min="7176" max="7176" width="9" style="150" hidden="1" customWidth="1"/>
    <col min="7177" max="7425" width="9" style="150"/>
    <col min="7426" max="7426" width="24.25" style="150" customWidth="1"/>
    <col min="7427" max="7431" width="10.375" style="150" customWidth="1"/>
    <col min="7432" max="7432" width="9" style="150" hidden="1" customWidth="1"/>
    <col min="7433" max="7681" width="9" style="150"/>
    <col min="7682" max="7682" width="24.25" style="150" customWidth="1"/>
    <col min="7683" max="7687" width="10.375" style="150" customWidth="1"/>
    <col min="7688" max="7688" width="9" style="150" hidden="1" customWidth="1"/>
    <col min="7689" max="7937" width="9" style="150"/>
    <col min="7938" max="7938" width="24.25" style="150" customWidth="1"/>
    <col min="7939" max="7943" width="10.375" style="150" customWidth="1"/>
    <col min="7944" max="7944" width="9" style="150" hidden="1" customWidth="1"/>
    <col min="7945" max="8193" width="9" style="150"/>
    <col min="8194" max="8194" width="24.25" style="150" customWidth="1"/>
    <col min="8195" max="8199" width="10.375" style="150" customWidth="1"/>
    <col min="8200" max="8200" width="9" style="150" hidden="1" customWidth="1"/>
    <col min="8201" max="8449" width="9" style="150"/>
    <col min="8450" max="8450" width="24.25" style="150" customWidth="1"/>
    <col min="8451" max="8455" width="10.375" style="150" customWidth="1"/>
    <col min="8456" max="8456" width="9" style="150" hidden="1" customWidth="1"/>
    <col min="8457" max="8705" width="9" style="150"/>
    <col min="8706" max="8706" width="24.25" style="150" customWidth="1"/>
    <col min="8707" max="8711" width="10.375" style="150" customWidth="1"/>
    <col min="8712" max="8712" width="9" style="150" hidden="1" customWidth="1"/>
    <col min="8713" max="8961" width="9" style="150"/>
    <col min="8962" max="8962" width="24.25" style="150" customWidth="1"/>
    <col min="8963" max="8967" width="10.375" style="150" customWidth="1"/>
    <col min="8968" max="8968" width="9" style="150" hidden="1" customWidth="1"/>
    <col min="8969" max="9217" width="9" style="150"/>
    <col min="9218" max="9218" width="24.25" style="150" customWidth="1"/>
    <col min="9219" max="9223" width="10.375" style="150" customWidth="1"/>
    <col min="9224" max="9224" width="9" style="150" hidden="1" customWidth="1"/>
    <col min="9225" max="9473" width="9" style="150"/>
    <col min="9474" max="9474" width="24.25" style="150" customWidth="1"/>
    <col min="9475" max="9479" width="10.375" style="150" customWidth="1"/>
    <col min="9480" max="9480" width="9" style="150" hidden="1" customWidth="1"/>
    <col min="9481" max="9729" width="9" style="150"/>
    <col min="9730" max="9730" width="24.25" style="150" customWidth="1"/>
    <col min="9731" max="9735" width="10.375" style="150" customWidth="1"/>
    <col min="9736" max="9736" width="9" style="150" hidden="1" customWidth="1"/>
    <col min="9737" max="9985" width="9" style="150"/>
    <col min="9986" max="9986" width="24.25" style="150" customWidth="1"/>
    <col min="9987" max="9991" width="10.375" style="150" customWidth="1"/>
    <col min="9992" max="9992" width="9" style="150" hidden="1" customWidth="1"/>
    <col min="9993" max="10241" width="9" style="150"/>
    <col min="10242" max="10242" width="24.25" style="150" customWidth="1"/>
    <col min="10243" max="10247" width="10.375" style="150" customWidth="1"/>
    <col min="10248" max="10248" width="9" style="150" hidden="1" customWidth="1"/>
    <col min="10249" max="10497" width="9" style="150"/>
    <col min="10498" max="10498" width="24.25" style="150" customWidth="1"/>
    <col min="10499" max="10503" width="10.375" style="150" customWidth="1"/>
    <col min="10504" max="10504" width="9" style="150" hidden="1" customWidth="1"/>
    <col min="10505" max="10753" width="9" style="150"/>
    <col min="10754" max="10754" width="24.25" style="150" customWidth="1"/>
    <col min="10755" max="10759" width="10.375" style="150" customWidth="1"/>
    <col min="10760" max="10760" width="9" style="150" hidden="1" customWidth="1"/>
    <col min="10761" max="11009" width="9" style="150"/>
    <col min="11010" max="11010" width="24.25" style="150" customWidth="1"/>
    <col min="11011" max="11015" width="10.375" style="150" customWidth="1"/>
    <col min="11016" max="11016" width="9" style="150" hidden="1" customWidth="1"/>
    <col min="11017" max="11265" width="9" style="150"/>
    <col min="11266" max="11266" width="24.25" style="150" customWidth="1"/>
    <col min="11267" max="11271" width="10.375" style="150" customWidth="1"/>
    <col min="11272" max="11272" width="9" style="150" hidden="1" customWidth="1"/>
    <col min="11273" max="11521" width="9" style="150"/>
    <col min="11522" max="11522" width="24.25" style="150" customWidth="1"/>
    <col min="11523" max="11527" width="10.375" style="150" customWidth="1"/>
    <col min="11528" max="11528" width="9" style="150" hidden="1" customWidth="1"/>
    <col min="11529" max="11777" width="9" style="150"/>
    <col min="11778" max="11778" width="24.25" style="150" customWidth="1"/>
    <col min="11779" max="11783" width="10.375" style="150" customWidth="1"/>
    <col min="11784" max="11784" width="9" style="150" hidden="1" customWidth="1"/>
    <col min="11785" max="12033" width="9" style="150"/>
    <col min="12034" max="12034" width="24.25" style="150" customWidth="1"/>
    <col min="12035" max="12039" width="10.375" style="150" customWidth="1"/>
    <col min="12040" max="12040" width="9" style="150" hidden="1" customWidth="1"/>
    <col min="12041" max="12289" width="9" style="150"/>
    <col min="12290" max="12290" width="24.25" style="150" customWidth="1"/>
    <col min="12291" max="12295" width="10.375" style="150" customWidth="1"/>
    <col min="12296" max="12296" width="9" style="150" hidden="1" customWidth="1"/>
    <col min="12297" max="12545" width="9" style="150"/>
    <col min="12546" max="12546" width="24.25" style="150" customWidth="1"/>
    <col min="12547" max="12551" width="10.375" style="150" customWidth="1"/>
    <col min="12552" max="12552" width="9" style="150" hidden="1" customWidth="1"/>
    <col min="12553" max="12801" width="9" style="150"/>
    <col min="12802" max="12802" width="24.25" style="150" customWidth="1"/>
    <col min="12803" max="12807" width="10.375" style="150" customWidth="1"/>
    <col min="12808" max="12808" width="9" style="150" hidden="1" customWidth="1"/>
    <col min="12809" max="13057" width="9" style="150"/>
    <col min="13058" max="13058" width="24.25" style="150" customWidth="1"/>
    <col min="13059" max="13063" width="10.375" style="150" customWidth="1"/>
    <col min="13064" max="13064" width="9" style="150" hidden="1" customWidth="1"/>
    <col min="13065" max="13313" width="9" style="150"/>
    <col min="13314" max="13314" width="24.25" style="150" customWidth="1"/>
    <col min="13315" max="13319" width="10.375" style="150" customWidth="1"/>
    <col min="13320" max="13320" width="9" style="150" hidden="1" customWidth="1"/>
    <col min="13321" max="13569" width="9" style="150"/>
    <col min="13570" max="13570" width="24.25" style="150" customWidth="1"/>
    <col min="13571" max="13575" width="10.375" style="150" customWidth="1"/>
    <col min="13576" max="13576" width="9" style="150" hidden="1" customWidth="1"/>
    <col min="13577" max="13825" width="9" style="150"/>
    <col min="13826" max="13826" width="24.25" style="150" customWidth="1"/>
    <col min="13827" max="13831" width="10.375" style="150" customWidth="1"/>
    <col min="13832" max="13832" width="9" style="150" hidden="1" customWidth="1"/>
    <col min="13833" max="14081" width="9" style="150"/>
    <col min="14082" max="14082" width="24.25" style="150" customWidth="1"/>
    <col min="14083" max="14087" width="10.375" style="150" customWidth="1"/>
    <col min="14088" max="14088" width="9" style="150" hidden="1" customWidth="1"/>
    <col min="14089" max="14337" width="9" style="150"/>
    <col min="14338" max="14338" width="24.25" style="150" customWidth="1"/>
    <col min="14339" max="14343" width="10.375" style="150" customWidth="1"/>
    <col min="14344" max="14344" width="9" style="150" hidden="1" customWidth="1"/>
    <col min="14345" max="14593" width="9" style="150"/>
    <col min="14594" max="14594" width="24.25" style="150" customWidth="1"/>
    <col min="14595" max="14599" width="10.375" style="150" customWidth="1"/>
    <col min="14600" max="14600" width="9" style="150" hidden="1" customWidth="1"/>
    <col min="14601" max="14849" width="9" style="150"/>
    <col min="14850" max="14850" width="24.25" style="150" customWidth="1"/>
    <col min="14851" max="14855" width="10.375" style="150" customWidth="1"/>
    <col min="14856" max="14856" width="9" style="150" hidden="1" customWidth="1"/>
    <col min="14857" max="15105" width="9" style="150"/>
    <col min="15106" max="15106" width="24.25" style="150" customWidth="1"/>
    <col min="15107" max="15111" width="10.375" style="150" customWidth="1"/>
    <col min="15112" max="15112" width="9" style="150" hidden="1" customWidth="1"/>
    <col min="15113" max="15361" width="9" style="150"/>
    <col min="15362" max="15362" width="24.25" style="150" customWidth="1"/>
    <col min="15363" max="15367" width="10.375" style="150" customWidth="1"/>
    <col min="15368" max="15368" width="9" style="150" hidden="1" customWidth="1"/>
    <col min="15369" max="15617" width="9" style="150"/>
    <col min="15618" max="15618" width="24.25" style="150" customWidth="1"/>
    <col min="15619" max="15623" width="10.375" style="150" customWidth="1"/>
    <col min="15624" max="15624" width="9" style="150" hidden="1" customWidth="1"/>
    <col min="15625" max="15873" width="9" style="150"/>
    <col min="15874" max="15874" width="24.25" style="150" customWidth="1"/>
    <col min="15875" max="15879" width="10.375" style="150" customWidth="1"/>
    <col min="15880" max="15880" width="9" style="150" hidden="1" customWidth="1"/>
    <col min="15881" max="16129" width="9" style="150"/>
    <col min="16130" max="16130" width="24.25" style="150" customWidth="1"/>
    <col min="16131" max="16135" width="10.375" style="150" customWidth="1"/>
    <col min="16136" max="16136" width="9" style="150" hidden="1" customWidth="1"/>
    <col min="16137" max="16384" width="9" style="150"/>
  </cols>
  <sheetData>
    <row r="1" ht="27.75" customHeight="1" spans="1:3">
      <c r="A1" s="152" t="s">
        <v>137</v>
      </c>
      <c r="B1" s="148"/>
      <c r="C1" s="148"/>
    </row>
    <row r="2" ht="55.5" customHeight="1" spans="1:8">
      <c r="A2" s="153" t="s">
        <v>138</v>
      </c>
      <c r="B2" s="153"/>
      <c r="C2" s="153"/>
      <c r="D2" s="153"/>
      <c r="E2" s="153"/>
      <c r="F2" s="153"/>
      <c r="G2" s="153"/>
      <c r="H2" s="153"/>
    </row>
    <row r="3" ht="32.25" customHeight="1" spans="1:8">
      <c r="A3" s="154" t="s">
        <v>2</v>
      </c>
      <c r="B3" s="154"/>
      <c r="C3" s="154"/>
      <c r="D3" s="154"/>
      <c r="E3" s="154"/>
      <c r="F3" s="154"/>
      <c r="G3" s="154"/>
      <c r="H3" s="154"/>
    </row>
    <row r="4" s="146" customFormat="1" ht="45" customHeight="1" spans="1:8">
      <c r="A4" s="155" t="s">
        <v>139</v>
      </c>
      <c r="B4" s="155" t="s">
        <v>140</v>
      </c>
      <c r="C4" s="156" t="s">
        <v>141</v>
      </c>
      <c r="D4" s="156" t="s">
        <v>142</v>
      </c>
      <c r="E4" s="156" t="s">
        <v>143</v>
      </c>
      <c r="F4" s="156" t="s">
        <v>144</v>
      </c>
      <c r="G4" s="157" t="s">
        <v>145</v>
      </c>
      <c r="H4" s="156" t="s">
        <v>146</v>
      </c>
    </row>
    <row r="5" s="147" customFormat="1" ht="45" customHeight="1" spans="1:8">
      <c r="A5" s="158" t="s">
        <v>147</v>
      </c>
      <c r="B5" s="159">
        <f>B6+B12</f>
        <v>239635</v>
      </c>
      <c r="C5" s="159">
        <f>C6+C12</f>
        <v>239635</v>
      </c>
      <c r="D5" s="159">
        <f>D6+D12</f>
        <v>199502</v>
      </c>
      <c r="E5" s="159">
        <f>E6+E12</f>
        <v>201851</v>
      </c>
      <c r="F5" s="160">
        <f>E5/D5</f>
        <v>1.01177431805195</v>
      </c>
      <c r="G5" s="159">
        <f>G6+G12</f>
        <v>277887</v>
      </c>
      <c r="H5" s="160">
        <f>E5/G5-1</f>
        <v>-0.27362201182495</v>
      </c>
    </row>
    <row r="6" s="148" customFormat="1" ht="45" customHeight="1" spans="1:8">
      <c r="A6" s="161" t="s">
        <v>148</v>
      </c>
      <c r="B6" s="158">
        <f>B7+B8</f>
        <v>115035</v>
      </c>
      <c r="C6" s="158">
        <f>C7+C8</f>
        <v>115035</v>
      </c>
      <c r="D6" s="159">
        <f>D7+D8</f>
        <v>107252</v>
      </c>
      <c r="E6" s="156">
        <f>E7+E8</f>
        <v>108830</v>
      </c>
      <c r="F6" s="160">
        <f t="shared" ref="F6:F18" si="0">E6/D6</f>
        <v>1.01471301234476</v>
      </c>
      <c r="G6" s="156">
        <f>G7+G8</f>
        <v>108466</v>
      </c>
      <c r="H6" s="160">
        <f t="shared" ref="H6:H18" si="1">E6/G6-1</f>
        <v>0.00335589032507877</v>
      </c>
    </row>
    <row r="7" s="149" customFormat="1" ht="45" customHeight="1" spans="1:8">
      <c r="A7" s="162" t="s">
        <v>55</v>
      </c>
      <c r="B7" s="163">
        <v>88573</v>
      </c>
      <c r="C7" s="163">
        <v>88573</v>
      </c>
      <c r="D7" s="163">
        <v>76300</v>
      </c>
      <c r="E7" s="164">
        <v>76317</v>
      </c>
      <c r="F7" s="165">
        <f t="shared" si="0"/>
        <v>1.00022280471822</v>
      </c>
      <c r="G7" s="164">
        <v>80521</v>
      </c>
      <c r="H7" s="165">
        <f t="shared" si="1"/>
        <v>-0.0522099824890401</v>
      </c>
    </row>
    <row r="8" s="149" customFormat="1" ht="45" customHeight="1" spans="1:8">
      <c r="A8" s="162" t="s">
        <v>57</v>
      </c>
      <c r="B8" s="163">
        <f>B9+B10</f>
        <v>26462</v>
      </c>
      <c r="C8" s="166">
        <f t="shared" ref="C8:E8" si="2">C9+C10</f>
        <v>26462</v>
      </c>
      <c r="D8" s="166">
        <f t="shared" si="2"/>
        <v>30952</v>
      </c>
      <c r="E8" s="166">
        <f t="shared" si="2"/>
        <v>32513</v>
      </c>
      <c r="F8" s="165">
        <f t="shared" si="0"/>
        <v>1.05043292840527</v>
      </c>
      <c r="G8" s="164">
        <f>G9+G10</f>
        <v>27945</v>
      </c>
      <c r="H8" s="165">
        <f t="shared" si="1"/>
        <v>0.163463947038826</v>
      </c>
    </row>
    <row r="9" s="149" customFormat="1" ht="45" customHeight="1" spans="1:8">
      <c r="A9" s="162" t="s">
        <v>149</v>
      </c>
      <c r="B9" s="163">
        <v>5600</v>
      </c>
      <c r="C9" s="163">
        <v>5600</v>
      </c>
      <c r="D9" s="163">
        <v>4816</v>
      </c>
      <c r="E9" s="164">
        <v>5007</v>
      </c>
      <c r="F9" s="165">
        <f t="shared" si="0"/>
        <v>1.03965946843854</v>
      </c>
      <c r="G9" s="164">
        <v>5565</v>
      </c>
      <c r="H9" s="165">
        <f t="shared" si="1"/>
        <v>-0.100269541778976</v>
      </c>
    </row>
    <row r="10" ht="45" customHeight="1" spans="1:8">
      <c r="A10" s="162" t="s">
        <v>150</v>
      </c>
      <c r="B10" s="163">
        <f>20900-38</f>
        <v>20862</v>
      </c>
      <c r="C10" s="163">
        <f>20900-38</f>
        <v>20862</v>
      </c>
      <c r="D10" s="167">
        <v>26136</v>
      </c>
      <c r="E10" s="168">
        <v>27506</v>
      </c>
      <c r="F10" s="165">
        <f t="shared" si="0"/>
        <v>1.05241812059994</v>
      </c>
      <c r="G10" s="168">
        <v>22380</v>
      </c>
      <c r="H10" s="165">
        <f t="shared" si="1"/>
        <v>0.229043789097408</v>
      </c>
    </row>
    <row r="11" ht="45" customHeight="1" spans="1:8">
      <c r="A11" s="169" t="s">
        <v>151</v>
      </c>
      <c r="B11" s="165">
        <f>B8/B6</f>
        <v>0.230034337375581</v>
      </c>
      <c r="C11" s="165">
        <f>C8/C6</f>
        <v>0.230034337375581</v>
      </c>
      <c r="D11" s="165">
        <f>D8/D6</f>
        <v>0.288591354939768</v>
      </c>
      <c r="E11" s="165">
        <f>E8/E6</f>
        <v>0.298750344574106</v>
      </c>
      <c r="F11" s="165">
        <f t="shared" si="0"/>
        <v>1.03520198876525</v>
      </c>
      <c r="G11" s="165">
        <f>G8/G6</f>
        <v>0.25763833828112</v>
      </c>
      <c r="H11" s="165">
        <f t="shared" si="1"/>
        <v>0.159572548741278</v>
      </c>
    </row>
    <row r="12" s="147" customFormat="1" ht="45" customHeight="1" spans="1:10">
      <c r="A12" s="161" t="s">
        <v>152</v>
      </c>
      <c r="B12" s="158">
        <f>SUM(B13:B18)</f>
        <v>124600</v>
      </c>
      <c r="C12" s="158">
        <f>SUM(C13:C18)</f>
        <v>124600</v>
      </c>
      <c r="D12" s="159">
        <f>SUM(D13:D18)</f>
        <v>92250</v>
      </c>
      <c r="E12" s="159">
        <f>SUM(E13:E18)</f>
        <v>93021</v>
      </c>
      <c r="F12" s="160">
        <f t="shared" si="0"/>
        <v>1.00835772357724</v>
      </c>
      <c r="G12" s="159">
        <f>SUM(G13:G18)</f>
        <v>169421</v>
      </c>
      <c r="H12" s="160">
        <f t="shared" si="1"/>
        <v>-0.450947639312718</v>
      </c>
      <c r="J12" s="148"/>
    </row>
    <row r="13" s="147" customFormat="1" ht="45.75" customHeight="1" spans="1:10">
      <c r="A13" s="170" t="s">
        <v>111</v>
      </c>
      <c r="B13" s="163">
        <v>110000</v>
      </c>
      <c r="C13" s="163">
        <v>110000</v>
      </c>
      <c r="D13" s="163">
        <v>54713</v>
      </c>
      <c r="E13" s="167">
        <v>54932</v>
      </c>
      <c r="F13" s="165">
        <f t="shared" si="0"/>
        <v>1.0040027050244</v>
      </c>
      <c r="G13" s="167">
        <v>149423</v>
      </c>
      <c r="H13" s="165">
        <f t="shared" si="1"/>
        <v>-0.632372526317903</v>
      </c>
      <c r="J13" s="148"/>
    </row>
    <row r="14" ht="45.75" customHeight="1" spans="1:8">
      <c r="A14" s="170" t="s">
        <v>113</v>
      </c>
      <c r="B14" s="163">
        <v>11000</v>
      </c>
      <c r="C14" s="163">
        <v>11000</v>
      </c>
      <c r="D14" s="167">
        <v>35892</v>
      </c>
      <c r="E14" s="168">
        <v>35945</v>
      </c>
      <c r="F14" s="165">
        <f t="shared" si="0"/>
        <v>1.00147665217876</v>
      </c>
      <c r="G14" s="168">
        <v>12549</v>
      </c>
      <c r="H14" s="165">
        <f t="shared" si="1"/>
        <v>1.86437166308072</v>
      </c>
    </row>
    <row r="15" ht="45.75" customHeight="1" spans="1:8">
      <c r="A15" s="170" t="s">
        <v>153</v>
      </c>
      <c r="B15" s="163">
        <v>1200</v>
      </c>
      <c r="C15" s="163">
        <v>1200</v>
      </c>
      <c r="D15" s="167">
        <v>1318</v>
      </c>
      <c r="E15" s="168">
        <v>1305</v>
      </c>
      <c r="F15" s="165">
        <f t="shared" si="0"/>
        <v>0.990136570561457</v>
      </c>
      <c r="G15" s="168">
        <v>1115</v>
      </c>
      <c r="H15" s="165">
        <f t="shared" si="1"/>
        <v>0.170403587443946</v>
      </c>
    </row>
    <row r="16" ht="45.75" customHeight="1" spans="1:8">
      <c r="A16" s="170" t="s">
        <v>154</v>
      </c>
      <c r="B16" s="163">
        <v>400</v>
      </c>
      <c r="C16" s="163">
        <v>400</v>
      </c>
      <c r="D16" s="167">
        <v>177</v>
      </c>
      <c r="E16" s="168">
        <v>177</v>
      </c>
      <c r="F16" s="165">
        <f t="shared" si="0"/>
        <v>1</v>
      </c>
      <c r="G16" s="168">
        <f>258+104</f>
        <v>362</v>
      </c>
      <c r="H16" s="165">
        <f t="shared" si="1"/>
        <v>-0.511049723756906</v>
      </c>
    </row>
    <row r="17" ht="45.75" customHeight="1" spans="1:8">
      <c r="A17" s="170" t="s">
        <v>155</v>
      </c>
      <c r="B17" s="167"/>
      <c r="C17" s="167"/>
      <c r="D17" s="167"/>
      <c r="E17" s="168">
        <v>286</v>
      </c>
      <c r="F17" s="165"/>
      <c r="G17" s="168"/>
      <c r="H17" s="165"/>
    </row>
    <row r="18" ht="45.75" customHeight="1" spans="1:8">
      <c r="A18" s="170" t="s">
        <v>156</v>
      </c>
      <c r="B18" s="163">
        <v>2000</v>
      </c>
      <c r="C18" s="163">
        <v>2000</v>
      </c>
      <c r="D18" s="167">
        <v>150</v>
      </c>
      <c r="E18" s="167">
        <v>376</v>
      </c>
      <c r="F18" s="165">
        <f t="shared" si="0"/>
        <v>2.50666666666667</v>
      </c>
      <c r="G18" s="167">
        <v>5972</v>
      </c>
      <c r="H18" s="165">
        <f t="shared" si="1"/>
        <v>-0.937039517749498</v>
      </c>
    </row>
    <row r="19" spans="1:8">
      <c r="A19" s="171"/>
      <c r="B19" s="171"/>
      <c r="C19" s="171"/>
      <c r="D19" s="171"/>
      <c r="E19" s="172"/>
      <c r="F19" s="171"/>
      <c r="G19" s="173"/>
      <c r="H19" s="173"/>
    </row>
    <row r="20" spans="1:8">
      <c r="A20" s="171"/>
      <c r="B20" s="171"/>
      <c r="C20" s="171"/>
      <c r="D20" s="171"/>
      <c r="E20" s="172"/>
      <c r="F20" s="171"/>
      <c r="G20" s="173"/>
      <c r="H20" s="173"/>
    </row>
  </sheetData>
  <mergeCells count="2">
    <mergeCell ref="A2:H2"/>
    <mergeCell ref="A3:H3"/>
  </mergeCells>
  <printOptions horizontalCentered="1"/>
  <pageMargins left="0.590551181102362" right="0.590551181102362" top="0.393700787401575" bottom="0.393700787401575" header="0.31496062992126" footer="0.196850393700787"/>
  <pageSetup paperSize="9" scale="84" fitToHeight="0"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M37"/>
  <sheetViews>
    <sheetView topLeftCell="A16" workbookViewId="0">
      <selection activeCell="A16" sqref="A$1:A$1048576"/>
    </sheetView>
  </sheetViews>
  <sheetFormatPr defaultColWidth="9" defaultRowHeight="14.25"/>
  <cols>
    <col min="1" max="1" width="16.75" style="109" customWidth="1"/>
    <col min="2" max="5" width="7.625" style="110" customWidth="1"/>
    <col min="6" max="6" width="7.875" style="110" customWidth="1"/>
    <col min="7" max="9" width="7.625" style="110" customWidth="1"/>
    <col min="10" max="10" width="7.625" style="109" customWidth="1"/>
    <col min="11" max="11" width="7.875" style="109" customWidth="1"/>
    <col min="12" max="13" width="12" style="109" hidden="1" customWidth="1"/>
    <col min="14" max="251" width="9" style="109"/>
    <col min="252" max="252" width="21.125" style="109" customWidth="1"/>
    <col min="253" max="253" width="9.375" style="109" customWidth="1"/>
    <col min="254" max="258" width="8.625" style="109" customWidth="1"/>
    <col min="259" max="259" width="9.75" style="109" customWidth="1"/>
    <col min="260" max="507" width="9" style="109"/>
    <col min="508" max="508" width="21.125" style="109" customWidth="1"/>
    <col min="509" max="509" width="9.375" style="109" customWidth="1"/>
    <col min="510" max="514" width="8.625" style="109" customWidth="1"/>
    <col min="515" max="515" width="9.75" style="109" customWidth="1"/>
    <col min="516" max="763" width="9" style="109"/>
    <col min="764" max="764" width="21.125" style="109" customWidth="1"/>
    <col min="765" max="765" width="9.375" style="109" customWidth="1"/>
    <col min="766" max="770" width="8.625" style="109" customWidth="1"/>
    <col min="771" max="771" width="9.75" style="109" customWidth="1"/>
    <col min="772" max="1019" width="9" style="109"/>
    <col min="1020" max="1020" width="21.125" style="109" customWidth="1"/>
    <col min="1021" max="1021" width="9.375" style="109" customWidth="1"/>
    <col min="1022" max="1026" width="8.625" style="109" customWidth="1"/>
    <col min="1027" max="1027" width="9.75" style="109" customWidth="1"/>
    <col min="1028" max="1275" width="9" style="109"/>
    <col min="1276" max="1276" width="21.125" style="109" customWidth="1"/>
    <col min="1277" max="1277" width="9.375" style="109" customWidth="1"/>
    <col min="1278" max="1282" width="8.625" style="109" customWidth="1"/>
    <col min="1283" max="1283" width="9.75" style="109" customWidth="1"/>
    <col min="1284" max="1531" width="9" style="109"/>
    <col min="1532" max="1532" width="21.125" style="109" customWidth="1"/>
    <col min="1533" max="1533" width="9.375" style="109" customWidth="1"/>
    <col min="1534" max="1538" width="8.625" style="109" customWidth="1"/>
    <col min="1539" max="1539" width="9.75" style="109" customWidth="1"/>
    <col min="1540" max="1787" width="9" style="109"/>
    <col min="1788" max="1788" width="21.125" style="109" customWidth="1"/>
    <col min="1789" max="1789" width="9.375" style="109" customWidth="1"/>
    <col min="1790" max="1794" width="8.625" style="109" customWidth="1"/>
    <col min="1795" max="1795" width="9.75" style="109" customWidth="1"/>
    <col min="1796" max="2043" width="9" style="109"/>
    <col min="2044" max="2044" width="21.125" style="109" customWidth="1"/>
    <col min="2045" max="2045" width="9.375" style="109" customWidth="1"/>
    <col min="2046" max="2050" width="8.625" style="109" customWidth="1"/>
    <col min="2051" max="2051" width="9.75" style="109" customWidth="1"/>
    <col min="2052" max="2299" width="9" style="109"/>
    <col min="2300" max="2300" width="21.125" style="109" customWidth="1"/>
    <col min="2301" max="2301" width="9.375" style="109" customWidth="1"/>
    <col min="2302" max="2306" width="8.625" style="109" customWidth="1"/>
    <col min="2307" max="2307" width="9.75" style="109" customWidth="1"/>
    <col min="2308" max="2555" width="9" style="109"/>
    <col min="2556" max="2556" width="21.125" style="109" customWidth="1"/>
    <col min="2557" max="2557" width="9.375" style="109" customWidth="1"/>
    <col min="2558" max="2562" width="8.625" style="109" customWidth="1"/>
    <col min="2563" max="2563" width="9.75" style="109" customWidth="1"/>
    <col min="2564" max="2811" width="9" style="109"/>
    <col min="2812" max="2812" width="21.125" style="109" customWidth="1"/>
    <col min="2813" max="2813" width="9.375" style="109" customWidth="1"/>
    <col min="2814" max="2818" width="8.625" style="109" customWidth="1"/>
    <col min="2819" max="2819" width="9.75" style="109" customWidth="1"/>
    <col min="2820" max="3067" width="9" style="109"/>
    <col min="3068" max="3068" width="21.125" style="109" customWidth="1"/>
    <col min="3069" max="3069" width="9.375" style="109" customWidth="1"/>
    <col min="3070" max="3074" width="8.625" style="109" customWidth="1"/>
    <col min="3075" max="3075" width="9.75" style="109" customWidth="1"/>
    <col min="3076" max="3323" width="9" style="109"/>
    <col min="3324" max="3324" width="21.125" style="109" customWidth="1"/>
    <col min="3325" max="3325" width="9.375" style="109" customWidth="1"/>
    <col min="3326" max="3330" width="8.625" style="109" customWidth="1"/>
    <col min="3331" max="3331" width="9.75" style="109" customWidth="1"/>
    <col min="3332" max="3579" width="9" style="109"/>
    <col min="3580" max="3580" width="21.125" style="109" customWidth="1"/>
    <col min="3581" max="3581" width="9.375" style="109" customWidth="1"/>
    <col min="3582" max="3586" width="8.625" style="109" customWidth="1"/>
    <col min="3587" max="3587" width="9.75" style="109" customWidth="1"/>
    <col min="3588" max="3835" width="9" style="109"/>
    <col min="3836" max="3836" width="21.125" style="109" customWidth="1"/>
    <col min="3837" max="3837" width="9.375" style="109" customWidth="1"/>
    <col min="3838" max="3842" width="8.625" style="109" customWidth="1"/>
    <col min="3843" max="3843" width="9.75" style="109" customWidth="1"/>
    <col min="3844" max="4091" width="9" style="109"/>
    <col min="4092" max="4092" width="21.125" style="109" customWidth="1"/>
    <col min="4093" max="4093" width="9.375" style="109" customWidth="1"/>
    <col min="4094" max="4098" width="8.625" style="109" customWidth="1"/>
    <col min="4099" max="4099" width="9.75" style="109" customWidth="1"/>
    <col min="4100" max="4347" width="9" style="109"/>
    <col min="4348" max="4348" width="21.125" style="109" customWidth="1"/>
    <col min="4349" max="4349" width="9.375" style="109" customWidth="1"/>
    <col min="4350" max="4354" width="8.625" style="109" customWidth="1"/>
    <col min="4355" max="4355" width="9.75" style="109" customWidth="1"/>
    <col min="4356" max="4603" width="9" style="109"/>
    <col min="4604" max="4604" width="21.125" style="109" customWidth="1"/>
    <col min="4605" max="4605" width="9.375" style="109" customWidth="1"/>
    <col min="4606" max="4610" width="8.625" style="109" customWidth="1"/>
    <col min="4611" max="4611" width="9.75" style="109" customWidth="1"/>
    <col min="4612" max="4859" width="9" style="109"/>
    <col min="4860" max="4860" width="21.125" style="109" customWidth="1"/>
    <col min="4861" max="4861" width="9.375" style="109" customWidth="1"/>
    <col min="4862" max="4866" width="8.625" style="109" customWidth="1"/>
    <col min="4867" max="4867" width="9.75" style="109" customWidth="1"/>
    <col min="4868" max="5115" width="9" style="109"/>
    <col min="5116" max="5116" width="21.125" style="109" customWidth="1"/>
    <col min="5117" max="5117" width="9.375" style="109" customWidth="1"/>
    <col min="5118" max="5122" width="8.625" style="109" customWidth="1"/>
    <col min="5123" max="5123" width="9.75" style="109" customWidth="1"/>
    <col min="5124" max="5371" width="9" style="109"/>
    <col min="5372" max="5372" width="21.125" style="109" customWidth="1"/>
    <col min="5373" max="5373" width="9.375" style="109" customWidth="1"/>
    <col min="5374" max="5378" width="8.625" style="109" customWidth="1"/>
    <col min="5379" max="5379" width="9.75" style="109" customWidth="1"/>
    <col min="5380" max="5627" width="9" style="109"/>
    <col min="5628" max="5628" width="21.125" style="109" customWidth="1"/>
    <col min="5629" max="5629" width="9.375" style="109" customWidth="1"/>
    <col min="5630" max="5634" width="8.625" style="109" customWidth="1"/>
    <col min="5635" max="5635" width="9.75" style="109" customWidth="1"/>
    <col min="5636" max="5883" width="9" style="109"/>
    <col min="5884" max="5884" width="21.125" style="109" customWidth="1"/>
    <col min="5885" max="5885" width="9.375" style="109" customWidth="1"/>
    <col min="5886" max="5890" width="8.625" style="109" customWidth="1"/>
    <col min="5891" max="5891" width="9.75" style="109" customWidth="1"/>
    <col min="5892" max="6139" width="9" style="109"/>
    <col min="6140" max="6140" width="21.125" style="109" customWidth="1"/>
    <col min="6141" max="6141" width="9.375" style="109" customWidth="1"/>
    <col min="6142" max="6146" width="8.625" style="109" customWidth="1"/>
    <col min="6147" max="6147" width="9.75" style="109" customWidth="1"/>
    <col min="6148" max="6395" width="9" style="109"/>
    <col min="6396" max="6396" width="21.125" style="109" customWidth="1"/>
    <col min="6397" max="6397" width="9.375" style="109" customWidth="1"/>
    <col min="6398" max="6402" width="8.625" style="109" customWidth="1"/>
    <col min="6403" max="6403" width="9.75" style="109" customWidth="1"/>
    <col min="6404" max="6651" width="9" style="109"/>
    <col min="6652" max="6652" width="21.125" style="109" customWidth="1"/>
    <col min="6653" max="6653" width="9.375" style="109" customWidth="1"/>
    <col min="6654" max="6658" width="8.625" style="109" customWidth="1"/>
    <col min="6659" max="6659" width="9.75" style="109" customWidth="1"/>
    <col min="6660" max="6907" width="9" style="109"/>
    <col min="6908" max="6908" width="21.125" style="109" customWidth="1"/>
    <col min="6909" max="6909" width="9.375" style="109" customWidth="1"/>
    <col min="6910" max="6914" width="8.625" style="109" customWidth="1"/>
    <col min="6915" max="6915" width="9.75" style="109" customWidth="1"/>
    <col min="6916" max="7163" width="9" style="109"/>
    <col min="7164" max="7164" width="21.125" style="109" customWidth="1"/>
    <col min="7165" max="7165" width="9.375" style="109" customWidth="1"/>
    <col min="7166" max="7170" width="8.625" style="109" customWidth="1"/>
    <col min="7171" max="7171" width="9.75" style="109" customWidth="1"/>
    <col min="7172" max="7419" width="9" style="109"/>
    <col min="7420" max="7420" width="21.125" style="109" customWidth="1"/>
    <col min="7421" max="7421" width="9.375" style="109" customWidth="1"/>
    <col min="7422" max="7426" width="8.625" style="109" customWidth="1"/>
    <col min="7427" max="7427" width="9.75" style="109" customWidth="1"/>
    <col min="7428" max="7675" width="9" style="109"/>
    <col min="7676" max="7676" width="21.125" style="109" customWidth="1"/>
    <col min="7677" max="7677" width="9.375" style="109" customWidth="1"/>
    <col min="7678" max="7682" width="8.625" style="109" customWidth="1"/>
    <col min="7683" max="7683" width="9.75" style="109" customWidth="1"/>
    <col min="7684" max="7931" width="9" style="109"/>
    <col min="7932" max="7932" width="21.125" style="109" customWidth="1"/>
    <col min="7933" max="7933" width="9.375" style="109" customWidth="1"/>
    <col min="7934" max="7938" width="8.625" style="109" customWidth="1"/>
    <col min="7939" max="7939" width="9.75" style="109" customWidth="1"/>
    <col min="7940" max="8187" width="9" style="109"/>
    <col min="8188" max="8188" width="21.125" style="109" customWidth="1"/>
    <col min="8189" max="8189" width="9.375" style="109" customWidth="1"/>
    <col min="8190" max="8194" width="8.625" style="109" customWidth="1"/>
    <col min="8195" max="8195" width="9.75" style="109" customWidth="1"/>
    <col min="8196" max="8443" width="9" style="109"/>
    <col min="8444" max="8444" width="21.125" style="109" customWidth="1"/>
    <col min="8445" max="8445" width="9.375" style="109" customWidth="1"/>
    <col min="8446" max="8450" width="8.625" style="109" customWidth="1"/>
    <col min="8451" max="8451" width="9.75" style="109" customWidth="1"/>
    <col min="8452" max="8699" width="9" style="109"/>
    <col min="8700" max="8700" width="21.125" style="109" customWidth="1"/>
    <col min="8701" max="8701" width="9.375" style="109" customWidth="1"/>
    <col min="8702" max="8706" width="8.625" style="109" customWidth="1"/>
    <col min="8707" max="8707" width="9.75" style="109" customWidth="1"/>
    <col min="8708" max="8955" width="9" style="109"/>
    <col min="8956" max="8956" width="21.125" style="109" customWidth="1"/>
    <col min="8957" max="8957" width="9.375" style="109" customWidth="1"/>
    <col min="8958" max="8962" width="8.625" style="109" customWidth="1"/>
    <col min="8963" max="8963" width="9.75" style="109" customWidth="1"/>
    <col min="8964" max="9211" width="9" style="109"/>
    <col min="9212" max="9212" width="21.125" style="109" customWidth="1"/>
    <col min="9213" max="9213" width="9.375" style="109" customWidth="1"/>
    <col min="9214" max="9218" width="8.625" style="109" customWidth="1"/>
    <col min="9219" max="9219" width="9.75" style="109" customWidth="1"/>
    <col min="9220" max="9467" width="9" style="109"/>
    <col min="9468" max="9468" width="21.125" style="109" customWidth="1"/>
    <col min="9469" max="9469" width="9.375" style="109" customWidth="1"/>
    <col min="9470" max="9474" width="8.625" style="109" customWidth="1"/>
    <col min="9475" max="9475" width="9.75" style="109" customWidth="1"/>
    <col min="9476" max="9723" width="9" style="109"/>
    <col min="9724" max="9724" width="21.125" style="109" customWidth="1"/>
    <col min="9725" max="9725" width="9.375" style="109" customWidth="1"/>
    <col min="9726" max="9730" width="8.625" style="109" customWidth="1"/>
    <col min="9731" max="9731" width="9.75" style="109" customWidth="1"/>
    <col min="9732" max="9979" width="9" style="109"/>
    <col min="9980" max="9980" width="21.125" style="109" customWidth="1"/>
    <col min="9981" max="9981" width="9.375" style="109" customWidth="1"/>
    <col min="9982" max="9986" width="8.625" style="109" customWidth="1"/>
    <col min="9987" max="9987" width="9.75" style="109" customWidth="1"/>
    <col min="9988" max="10235" width="9" style="109"/>
    <col min="10236" max="10236" width="21.125" style="109" customWidth="1"/>
    <col min="10237" max="10237" width="9.375" style="109" customWidth="1"/>
    <col min="10238" max="10242" width="8.625" style="109" customWidth="1"/>
    <col min="10243" max="10243" width="9.75" style="109" customWidth="1"/>
    <col min="10244" max="10491" width="9" style="109"/>
    <col min="10492" max="10492" width="21.125" style="109" customWidth="1"/>
    <col min="10493" max="10493" width="9.375" style="109" customWidth="1"/>
    <col min="10494" max="10498" width="8.625" style="109" customWidth="1"/>
    <col min="10499" max="10499" width="9.75" style="109" customWidth="1"/>
    <col min="10500" max="10747" width="9" style="109"/>
    <col min="10748" max="10748" width="21.125" style="109" customWidth="1"/>
    <col min="10749" max="10749" width="9.375" style="109" customWidth="1"/>
    <col min="10750" max="10754" width="8.625" style="109" customWidth="1"/>
    <col min="10755" max="10755" width="9.75" style="109" customWidth="1"/>
    <col min="10756" max="11003" width="9" style="109"/>
    <col min="11004" max="11004" width="21.125" style="109" customWidth="1"/>
    <col min="11005" max="11005" width="9.375" style="109" customWidth="1"/>
    <col min="11006" max="11010" width="8.625" style="109" customWidth="1"/>
    <col min="11011" max="11011" width="9.75" style="109" customWidth="1"/>
    <col min="11012" max="11259" width="9" style="109"/>
    <col min="11260" max="11260" width="21.125" style="109" customWidth="1"/>
    <col min="11261" max="11261" width="9.375" style="109" customWidth="1"/>
    <col min="11262" max="11266" width="8.625" style="109" customWidth="1"/>
    <col min="11267" max="11267" width="9.75" style="109" customWidth="1"/>
    <col min="11268" max="11515" width="9" style="109"/>
    <col min="11516" max="11516" width="21.125" style="109" customWidth="1"/>
    <col min="11517" max="11517" width="9.375" style="109" customWidth="1"/>
    <col min="11518" max="11522" width="8.625" style="109" customWidth="1"/>
    <col min="11523" max="11523" width="9.75" style="109" customWidth="1"/>
    <col min="11524" max="11771" width="9" style="109"/>
    <col min="11772" max="11772" width="21.125" style="109" customWidth="1"/>
    <col min="11773" max="11773" width="9.375" style="109" customWidth="1"/>
    <col min="11774" max="11778" width="8.625" style="109" customWidth="1"/>
    <col min="11779" max="11779" width="9.75" style="109" customWidth="1"/>
    <col min="11780" max="12027" width="9" style="109"/>
    <col min="12028" max="12028" width="21.125" style="109" customWidth="1"/>
    <col min="12029" max="12029" width="9.375" style="109" customWidth="1"/>
    <col min="12030" max="12034" width="8.625" style="109" customWidth="1"/>
    <col min="12035" max="12035" width="9.75" style="109" customWidth="1"/>
    <col min="12036" max="12283" width="9" style="109"/>
    <col min="12284" max="12284" width="21.125" style="109" customWidth="1"/>
    <col min="12285" max="12285" width="9.375" style="109" customWidth="1"/>
    <col min="12286" max="12290" width="8.625" style="109" customWidth="1"/>
    <col min="12291" max="12291" width="9.75" style="109" customWidth="1"/>
    <col min="12292" max="12539" width="9" style="109"/>
    <col min="12540" max="12540" width="21.125" style="109" customWidth="1"/>
    <col min="12541" max="12541" width="9.375" style="109" customWidth="1"/>
    <col min="12542" max="12546" width="8.625" style="109" customWidth="1"/>
    <col min="12547" max="12547" width="9.75" style="109" customWidth="1"/>
    <col min="12548" max="12795" width="9" style="109"/>
    <col min="12796" max="12796" width="21.125" style="109" customWidth="1"/>
    <col min="12797" max="12797" width="9.375" style="109" customWidth="1"/>
    <col min="12798" max="12802" width="8.625" style="109" customWidth="1"/>
    <col min="12803" max="12803" width="9.75" style="109" customWidth="1"/>
    <col min="12804" max="13051" width="9" style="109"/>
    <col min="13052" max="13052" width="21.125" style="109" customWidth="1"/>
    <col min="13053" max="13053" width="9.375" style="109" customWidth="1"/>
    <col min="13054" max="13058" width="8.625" style="109" customWidth="1"/>
    <col min="13059" max="13059" width="9.75" style="109" customWidth="1"/>
    <col min="13060" max="13307" width="9" style="109"/>
    <col min="13308" max="13308" width="21.125" style="109" customWidth="1"/>
    <col min="13309" max="13309" width="9.375" style="109" customWidth="1"/>
    <col min="13310" max="13314" width="8.625" style="109" customWidth="1"/>
    <col min="13315" max="13315" width="9.75" style="109" customWidth="1"/>
    <col min="13316" max="13563" width="9" style="109"/>
    <col min="13564" max="13564" width="21.125" style="109" customWidth="1"/>
    <col min="13565" max="13565" width="9.375" style="109" customWidth="1"/>
    <col min="13566" max="13570" width="8.625" style="109" customWidth="1"/>
    <col min="13571" max="13571" width="9.75" style="109" customWidth="1"/>
    <col min="13572" max="13819" width="9" style="109"/>
    <col min="13820" max="13820" width="21.125" style="109" customWidth="1"/>
    <col min="13821" max="13821" width="9.375" style="109" customWidth="1"/>
    <col min="13822" max="13826" width="8.625" style="109" customWidth="1"/>
    <col min="13827" max="13827" width="9.75" style="109" customWidth="1"/>
    <col min="13828" max="14075" width="9" style="109"/>
    <col min="14076" max="14076" width="21.125" style="109" customWidth="1"/>
    <col min="14077" max="14077" width="9.375" style="109" customWidth="1"/>
    <col min="14078" max="14082" width="8.625" style="109" customWidth="1"/>
    <col min="14083" max="14083" width="9.75" style="109" customWidth="1"/>
    <col min="14084" max="14331" width="9" style="109"/>
    <col min="14332" max="14332" width="21.125" style="109" customWidth="1"/>
    <col min="14333" max="14333" width="9.375" style="109" customWidth="1"/>
    <col min="14334" max="14338" width="8.625" style="109" customWidth="1"/>
    <col min="14339" max="14339" width="9.75" style="109" customWidth="1"/>
    <col min="14340" max="14587" width="9" style="109"/>
    <col min="14588" max="14588" width="21.125" style="109" customWidth="1"/>
    <col min="14589" max="14589" width="9.375" style="109" customWidth="1"/>
    <col min="14590" max="14594" width="8.625" style="109" customWidth="1"/>
    <col min="14595" max="14595" width="9.75" style="109" customWidth="1"/>
    <col min="14596" max="14843" width="9" style="109"/>
    <col min="14844" max="14844" width="21.125" style="109" customWidth="1"/>
    <col min="14845" max="14845" width="9.375" style="109" customWidth="1"/>
    <col min="14846" max="14850" width="8.625" style="109" customWidth="1"/>
    <col min="14851" max="14851" width="9.75" style="109" customWidth="1"/>
    <col min="14852" max="15099" width="9" style="109"/>
    <col min="15100" max="15100" width="21.125" style="109" customWidth="1"/>
    <col min="15101" max="15101" width="9.375" style="109" customWidth="1"/>
    <col min="15102" max="15106" width="8.625" style="109" customWidth="1"/>
    <col min="15107" max="15107" width="9.75" style="109" customWidth="1"/>
    <col min="15108" max="15355" width="9" style="109"/>
    <col min="15356" max="15356" width="21.125" style="109" customWidth="1"/>
    <col min="15357" max="15357" width="9.375" style="109" customWidth="1"/>
    <col min="15358" max="15362" width="8.625" style="109" customWidth="1"/>
    <col min="15363" max="15363" width="9.75" style="109" customWidth="1"/>
    <col min="15364" max="15611" width="9" style="109"/>
    <col min="15612" max="15612" width="21.125" style="109" customWidth="1"/>
    <col min="15613" max="15613" width="9.375" style="109" customWidth="1"/>
    <col min="15614" max="15618" width="8.625" style="109" customWidth="1"/>
    <col min="15619" max="15619" width="9.75" style="109" customWidth="1"/>
    <col min="15620" max="15867" width="9" style="109"/>
    <col min="15868" max="15868" width="21.125" style="109" customWidth="1"/>
    <col min="15869" max="15869" width="9.375" style="109" customWidth="1"/>
    <col min="15870" max="15874" width="8.625" style="109" customWidth="1"/>
    <col min="15875" max="15875" width="9.75" style="109" customWidth="1"/>
    <col min="15876" max="16123" width="9" style="109"/>
    <col min="16124" max="16124" width="21.125" style="109" customWidth="1"/>
    <col min="16125" max="16125" width="9.375" style="109" customWidth="1"/>
    <col min="16126" max="16130" width="8.625" style="109" customWidth="1"/>
    <col min="16131" max="16131" width="9.75" style="109" customWidth="1"/>
    <col min="16132" max="16384" width="9" style="109"/>
  </cols>
  <sheetData>
    <row r="1" ht="17.25" customHeight="1" spans="1:1">
      <c r="A1" s="111" t="s">
        <v>157</v>
      </c>
    </row>
    <row r="2" ht="23.25" customHeight="1" spans="1:13">
      <c r="A2" s="112" t="s">
        <v>158</v>
      </c>
      <c r="B2" s="112"/>
      <c r="C2" s="112"/>
      <c r="D2" s="112"/>
      <c r="E2" s="112"/>
      <c r="F2" s="112"/>
      <c r="G2" s="112"/>
      <c r="H2" s="112"/>
      <c r="I2" s="112"/>
      <c r="J2" s="112"/>
      <c r="K2" s="112"/>
      <c r="L2" s="69"/>
      <c r="M2" s="69"/>
    </row>
    <row r="3" ht="15" customHeight="1" spans="1:13">
      <c r="A3" s="113" t="s">
        <v>159</v>
      </c>
      <c r="B3" s="113"/>
      <c r="C3" s="113"/>
      <c r="D3" s="113"/>
      <c r="E3" s="113"/>
      <c r="F3" s="113"/>
      <c r="G3" s="113"/>
      <c r="H3" s="113"/>
      <c r="I3" s="113"/>
      <c r="J3" s="113"/>
      <c r="K3" s="113"/>
      <c r="L3" s="113"/>
      <c r="M3" s="113"/>
    </row>
    <row r="4" ht="35.25" customHeight="1" spans="1:13">
      <c r="A4" s="114" t="s">
        <v>160</v>
      </c>
      <c r="B4" s="115" t="s">
        <v>161</v>
      </c>
      <c r="C4" s="115"/>
      <c r="D4" s="115"/>
      <c r="E4" s="115"/>
      <c r="F4" s="115"/>
      <c r="G4" s="115" t="s">
        <v>162</v>
      </c>
      <c r="H4" s="115" t="s">
        <v>163</v>
      </c>
      <c r="I4" s="115" t="s">
        <v>164</v>
      </c>
      <c r="J4" s="126" t="s">
        <v>165</v>
      </c>
      <c r="K4" s="126" t="s">
        <v>166</v>
      </c>
      <c r="L4" s="137" t="s">
        <v>167</v>
      </c>
      <c r="M4" s="137" t="s">
        <v>168</v>
      </c>
    </row>
    <row r="5" ht="35.25" customHeight="1" spans="1:13">
      <c r="A5" s="114"/>
      <c r="B5" s="115" t="s">
        <v>169</v>
      </c>
      <c r="C5" s="115" t="s">
        <v>170</v>
      </c>
      <c r="D5" s="115" t="s">
        <v>171</v>
      </c>
      <c r="E5" s="115" t="s">
        <v>172</v>
      </c>
      <c r="F5" s="115" t="s">
        <v>173</v>
      </c>
      <c r="G5" s="115"/>
      <c r="H5" s="115"/>
      <c r="I5" s="115"/>
      <c r="J5" s="126"/>
      <c r="K5" s="126"/>
      <c r="L5" s="137"/>
      <c r="M5" s="137"/>
    </row>
    <row r="6" ht="30" customHeight="1" spans="1:13">
      <c r="A6" s="116" t="s">
        <v>174</v>
      </c>
      <c r="B6" s="117">
        <v>53029.755953</v>
      </c>
      <c r="C6" s="117">
        <v>53029.755953</v>
      </c>
      <c r="D6" s="118">
        <v>49143.6369133204</v>
      </c>
      <c r="E6" s="119">
        <v>47789</v>
      </c>
      <c r="F6" s="120">
        <f>E6/D6</f>
        <v>0.972435151356223</v>
      </c>
      <c r="G6" s="119">
        <v>427</v>
      </c>
      <c r="H6" s="119">
        <v>3485</v>
      </c>
      <c r="I6" s="119">
        <v>5742</v>
      </c>
      <c r="J6" s="138">
        <f t="shared" ref="J6:J27" si="0">SUM(E6,G6:I6)</f>
        <v>57443</v>
      </c>
      <c r="K6" s="139">
        <f>J6/J28</f>
        <v>0.0956516092076517</v>
      </c>
      <c r="L6" s="140">
        <v>51964</v>
      </c>
      <c r="M6" s="140">
        <v>40571.928592</v>
      </c>
    </row>
    <row r="7" ht="30" customHeight="1" spans="1:13">
      <c r="A7" s="116" t="s">
        <v>175</v>
      </c>
      <c r="B7" s="117">
        <v>182.48</v>
      </c>
      <c r="C7" s="117">
        <v>182.48</v>
      </c>
      <c r="D7" s="118">
        <v>149.93977346</v>
      </c>
      <c r="E7" s="119">
        <v>147</v>
      </c>
      <c r="F7" s="120">
        <f t="shared" ref="F7:F28" si="1">E7/D7</f>
        <v>0.980393638111076</v>
      </c>
      <c r="G7" s="119"/>
      <c r="H7" s="119"/>
      <c r="I7" s="119"/>
      <c r="J7" s="138">
        <f t="shared" si="0"/>
        <v>147</v>
      </c>
      <c r="K7" s="139">
        <f>J7/J28</f>
        <v>0.000244778067885117</v>
      </c>
      <c r="L7" s="140">
        <v>156</v>
      </c>
      <c r="M7" s="140">
        <v>167.8967</v>
      </c>
    </row>
    <row r="8" ht="30" customHeight="1" spans="1:13">
      <c r="A8" s="116" t="s">
        <v>176</v>
      </c>
      <c r="B8" s="117">
        <v>23619.714116</v>
      </c>
      <c r="C8" s="117">
        <v>23619.714116</v>
      </c>
      <c r="D8" s="118">
        <v>20251.6091189286</v>
      </c>
      <c r="E8" s="119">
        <v>19595</v>
      </c>
      <c r="F8" s="120">
        <f t="shared" si="1"/>
        <v>0.967577434707897</v>
      </c>
      <c r="G8" s="119">
        <v>892</v>
      </c>
      <c r="H8" s="119">
        <v>857</v>
      </c>
      <c r="I8" s="119">
        <v>738</v>
      </c>
      <c r="J8" s="138">
        <f t="shared" si="0"/>
        <v>22082</v>
      </c>
      <c r="K8" s="139">
        <f>J8/J28</f>
        <v>0.0367699952043481</v>
      </c>
      <c r="L8" s="140">
        <v>17596</v>
      </c>
      <c r="M8" s="140">
        <v>22077.33579</v>
      </c>
    </row>
    <row r="9" ht="30" customHeight="1" spans="1:13">
      <c r="A9" s="116" t="s">
        <v>177</v>
      </c>
      <c r="B9" s="117">
        <v>99044.452859</v>
      </c>
      <c r="C9" s="117">
        <v>99044.452859</v>
      </c>
      <c r="D9" s="118">
        <v>94661.7972461138</v>
      </c>
      <c r="E9" s="119">
        <v>95521</v>
      </c>
      <c r="F9" s="120">
        <f t="shared" si="1"/>
        <v>1.00907655230391</v>
      </c>
      <c r="G9" s="119">
        <v>4007</v>
      </c>
      <c r="H9" s="119">
        <v>43908</v>
      </c>
      <c r="I9" s="119">
        <v>3260</v>
      </c>
      <c r="J9" s="138">
        <f t="shared" si="0"/>
        <v>146696</v>
      </c>
      <c r="K9" s="139">
        <f>J9/J28</f>
        <v>0.244271860180103</v>
      </c>
      <c r="L9" s="140">
        <v>127806</v>
      </c>
      <c r="M9" s="140">
        <v>143357.994229</v>
      </c>
    </row>
    <row r="10" ht="30" customHeight="1" spans="1:13">
      <c r="A10" s="116" t="s">
        <v>178</v>
      </c>
      <c r="B10" s="117">
        <v>604.026</v>
      </c>
      <c r="C10" s="117">
        <v>604.026</v>
      </c>
      <c r="D10" s="118">
        <v>370.99252526</v>
      </c>
      <c r="E10" s="119">
        <v>253</v>
      </c>
      <c r="F10" s="120">
        <f t="shared" si="1"/>
        <v>0.681954440517883</v>
      </c>
      <c r="G10" s="119">
        <v>320</v>
      </c>
      <c r="H10" s="119">
        <v>10</v>
      </c>
      <c r="I10" s="119">
        <v>6410</v>
      </c>
      <c r="J10" s="138">
        <f t="shared" si="0"/>
        <v>6993</v>
      </c>
      <c r="K10" s="139">
        <f>J10/J28</f>
        <v>0.0116444423722492</v>
      </c>
      <c r="L10" s="140">
        <v>6330</v>
      </c>
      <c r="M10" s="140">
        <v>2450.70277</v>
      </c>
    </row>
    <row r="11" ht="32.1" customHeight="1" spans="1:13">
      <c r="A11" s="116" t="s">
        <v>179</v>
      </c>
      <c r="B11" s="117">
        <v>1116.7705</v>
      </c>
      <c r="C11" s="117">
        <v>1116.7705</v>
      </c>
      <c r="D11" s="118">
        <v>10599.75796427</v>
      </c>
      <c r="E11" s="119">
        <v>12029</v>
      </c>
      <c r="F11" s="120">
        <f t="shared" si="1"/>
        <v>1.13483723312813</v>
      </c>
      <c r="G11" s="119">
        <v>305</v>
      </c>
      <c r="H11" s="119">
        <v>4065</v>
      </c>
      <c r="I11" s="119">
        <v>2166</v>
      </c>
      <c r="J11" s="138">
        <f t="shared" si="0"/>
        <v>18565</v>
      </c>
      <c r="K11" s="139">
        <f>J11/J28</f>
        <v>0.0309136383012735</v>
      </c>
      <c r="L11" s="140">
        <v>9855</v>
      </c>
      <c r="M11" s="140">
        <v>16394.63423</v>
      </c>
    </row>
    <row r="12" ht="32.1" customHeight="1" spans="1:13">
      <c r="A12" s="116" t="s">
        <v>180</v>
      </c>
      <c r="B12" s="117">
        <v>44061.628602</v>
      </c>
      <c r="C12" s="117">
        <v>44061.628602</v>
      </c>
      <c r="D12" s="118">
        <v>47299.9297317412</v>
      </c>
      <c r="E12" s="119">
        <v>47576</v>
      </c>
      <c r="F12" s="120">
        <f t="shared" si="1"/>
        <v>1.00583658939505</v>
      </c>
      <c r="G12" s="119">
        <v>5389</v>
      </c>
      <c r="H12" s="119">
        <v>57017</v>
      </c>
      <c r="I12" s="119">
        <v>1532</v>
      </c>
      <c r="J12" s="138">
        <f t="shared" si="0"/>
        <v>111514</v>
      </c>
      <c r="K12" s="139">
        <f>J12/J28</f>
        <v>0.185688309266265</v>
      </c>
      <c r="L12" s="140">
        <v>73532</v>
      </c>
      <c r="M12" s="140">
        <v>65783.521683</v>
      </c>
    </row>
    <row r="13" ht="30" customHeight="1" spans="1:13">
      <c r="A13" s="116" t="s">
        <v>181</v>
      </c>
      <c r="B13" s="117">
        <v>15438.784157</v>
      </c>
      <c r="C13" s="117">
        <v>15438.784157</v>
      </c>
      <c r="D13" s="118">
        <v>9133.4896613406</v>
      </c>
      <c r="E13" s="119">
        <v>9870</v>
      </c>
      <c r="F13" s="120">
        <f t="shared" si="1"/>
        <v>1.08063843787735</v>
      </c>
      <c r="G13" s="119">
        <v>993</v>
      </c>
      <c r="H13" s="119">
        <v>78562</v>
      </c>
      <c r="I13" s="119">
        <v>5730</v>
      </c>
      <c r="J13" s="138">
        <f t="shared" si="0"/>
        <v>95155</v>
      </c>
      <c r="K13" s="139">
        <f>J13/J28</f>
        <v>0.158448007140193</v>
      </c>
      <c r="L13" s="140">
        <v>95306</v>
      </c>
      <c r="M13" s="140">
        <v>84714.863888</v>
      </c>
    </row>
    <row r="14" ht="30" customHeight="1" spans="1:13">
      <c r="A14" s="116" t="s">
        <v>182</v>
      </c>
      <c r="B14" s="117">
        <v>1555.166268</v>
      </c>
      <c r="C14" s="117">
        <v>1555.166268</v>
      </c>
      <c r="D14" s="118">
        <v>1526.1245732184</v>
      </c>
      <c r="E14" s="119">
        <v>1435</v>
      </c>
      <c r="F14" s="120">
        <f t="shared" si="1"/>
        <v>0.940290212989474</v>
      </c>
      <c r="G14" s="119">
        <v>6595</v>
      </c>
      <c r="H14" s="119"/>
      <c r="I14" s="119">
        <v>20384</v>
      </c>
      <c r="J14" s="138">
        <f t="shared" si="0"/>
        <v>28414</v>
      </c>
      <c r="K14" s="139">
        <f>J14/J28</f>
        <v>0.0473137688495764</v>
      </c>
      <c r="L14" s="140">
        <v>22077</v>
      </c>
      <c r="M14" s="140">
        <v>42871</v>
      </c>
    </row>
    <row r="15" ht="30" customHeight="1" spans="1:13">
      <c r="A15" s="116" t="s">
        <v>183</v>
      </c>
      <c r="B15" s="117">
        <v>19816.485801</v>
      </c>
      <c r="C15" s="117">
        <v>19816.485801</v>
      </c>
      <c r="D15" s="118">
        <v>14085.2538955826</v>
      </c>
      <c r="E15" s="119">
        <v>4284</v>
      </c>
      <c r="F15" s="120">
        <f t="shared" si="1"/>
        <v>0.304147872076594</v>
      </c>
      <c r="G15" s="119">
        <v>882</v>
      </c>
      <c r="H15" s="119">
        <v>1917</v>
      </c>
      <c r="I15" s="119">
        <v>20729</v>
      </c>
      <c r="J15" s="138">
        <f t="shared" si="0"/>
        <v>27812</v>
      </c>
      <c r="K15" s="139">
        <f>J15/J28</f>
        <v>0.0463113443810945</v>
      </c>
      <c r="L15" s="140">
        <v>20198</v>
      </c>
      <c r="M15" s="140">
        <v>13855.76928</v>
      </c>
    </row>
    <row r="16" ht="30" customHeight="1" spans="1:13">
      <c r="A16" s="116" t="s">
        <v>184</v>
      </c>
      <c r="B16" s="117">
        <v>8051.297898</v>
      </c>
      <c r="C16" s="117">
        <v>8051.297898</v>
      </c>
      <c r="D16" s="118">
        <v>7941.6610330424</v>
      </c>
      <c r="E16" s="119">
        <v>16444</v>
      </c>
      <c r="F16" s="120">
        <f t="shared" si="1"/>
        <v>2.07059958006045</v>
      </c>
      <c r="G16" s="119">
        <v>2367</v>
      </c>
      <c r="H16" s="119">
        <v>4136</v>
      </c>
      <c r="I16" s="119">
        <v>35481</v>
      </c>
      <c r="J16" s="138">
        <f t="shared" si="0"/>
        <v>58428</v>
      </c>
      <c r="K16" s="139">
        <f>J16/J28</f>
        <v>0.0972917887781745</v>
      </c>
      <c r="L16" s="140">
        <v>44920</v>
      </c>
      <c r="M16" s="140">
        <v>59259.451654</v>
      </c>
    </row>
    <row r="17" ht="30" customHeight="1" spans="1:13">
      <c r="A17" s="116" t="s">
        <v>185</v>
      </c>
      <c r="B17" s="117">
        <v>1057.956</v>
      </c>
      <c r="C17" s="117">
        <v>1057.956</v>
      </c>
      <c r="D17" s="118">
        <v>1636.2383766566</v>
      </c>
      <c r="E17" s="119">
        <v>1564</v>
      </c>
      <c r="F17" s="120">
        <f t="shared" si="1"/>
        <v>0.955850945872442</v>
      </c>
      <c r="G17" s="119">
        <f>12+9</f>
        <v>21</v>
      </c>
      <c r="H17" s="119">
        <v>1633</v>
      </c>
      <c r="I17" s="119">
        <v>532</v>
      </c>
      <c r="J17" s="138">
        <f t="shared" si="0"/>
        <v>3750</v>
      </c>
      <c r="K17" s="139">
        <f>J17/J28</f>
        <v>0.00624433846645708</v>
      </c>
      <c r="L17" s="140">
        <v>3846</v>
      </c>
      <c r="M17" s="140">
        <v>7136.270153</v>
      </c>
    </row>
    <row r="18" ht="32.1" customHeight="1" spans="1:13">
      <c r="A18" s="116" t="s">
        <v>186</v>
      </c>
      <c r="B18" s="117">
        <v>20</v>
      </c>
      <c r="C18" s="117">
        <v>20</v>
      </c>
      <c r="D18" s="118">
        <v>26.3708</v>
      </c>
      <c r="E18" s="119">
        <v>26</v>
      </c>
      <c r="F18" s="120">
        <f t="shared" si="1"/>
        <v>0.985938993128764</v>
      </c>
      <c r="G18" s="119"/>
      <c r="H18" s="119"/>
      <c r="I18" s="119">
        <v>364</v>
      </c>
      <c r="J18" s="138">
        <f t="shared" si="0"/>
        <v>390</v>
      </c>
      <c r="K18" s="139">
        <f>J18/J28</f>
        <v>0.000649411200511536</v>
      </c>
      <c r="L18" s="140">
        <v>2630</v>
      </c>
      <c r="M18" s="140">
        <v>1861.084078</v>
      </c>
    </row>
    <row r="19" ht="30" customHeight="1" spans="1:13">
      <c r="A19" s="116" t="s">
        <v>187</v>
      </c>
      <c r="B19" s="117">
        <v>251.108</v>
      </c>
      <c r="C19" s="117">
        <v>251.108</v>
      </c>
      <c r="D19" s="118">
        <v>240.796001</v>
      </c>
      <c r="E19" s="119">
        <v>279</v>
      </c>
      <c r="F19" s="120">
        <f t="shared" si="1"/>
        <v>1.1586571157384</v>
      </c>
      <c r="G19" s="119">
        <v>58</v>
      </c>
      <c r="H19" s="119"/>
      <c r="I19" s="119">
        <v>110</v>
      </c>
      <c r="J19" s="138">
        <f t="shared" si="0"/>
        <v>447</v>
      </c>
      <c r="K19" s="139">
        <f>J19/J28</f>
        <v>0.000744325145201684</v>
      </c>
      <c r="L19" s="140">
        <v>509</v>
      </c>
      <c r="M19" s="140">
        <v>702.49775</v>
      </c>
    </row>
    <row r="20" ht="30" customHeight="1" spans="1:13">
      <c r="A20" s="116" t="s">
        <v>188</v>
      </c>
      <c r="B20" s="117"/>
      <c r="C20" s="117"/>
      <c r="D20" s="118"/>
      <c r="E20" s="119"/>
      <c r="F20" s="120"/>
      <c r="G20" s="119"/>
      <c r="H20" s="119"/>
      <c r="I20" s="119">
        <v>40</v>
      </c>
      <c r="J20" s="138">
        <f t="shared" si="0"/>
        <v>40</v>
      </c>
      <c r="K20" s="139">
        <f>J20/J28</f>
        <v>6.66062769755422e-5</v>
      </c>
      <c r="L20" s="140">
        <v>91</v>
      </c>
      <c r="M20" s="140">
        <v>139</v>
      </c>
    </row>
    <row r="21" ht="32.1" customHeight="1" spans="1:13">
      <c r="A21" s="116" t="s">
        <v>189</v>
      </c>
      <c r="B21" s="117">
        <v>1287.688</v>
      </c>
      <c r="C21" s="117">
        <v>1287.688</v>
      </c>
      <c r="D21" s="118">
        <v>1392.897942918</v>
      </c>
      <c r="E21" s="119">
        <v>1260</v>
      </c>
      <c r="F21" s="120">
        <f t="shared" si="1"/>
        <v>0.904588887079846</v>
      </c>
      <c r="G21" s="119">
        <v>12</v>
      </c>
      <c r="H21" s="119"/>
      <c r="I21" s="119"/>
      <c r="J21" s="138">
        <f t="shared" si="0"/>
        <v>1272</v>
      </c>
      <c r="K21" s="139">
        <f>J21/J28</f>
        <v>0.00211807960782224</v>
      </c>
      <c r="L21" s="140">
        <v>3198</v>
      </c>
      <c r="M21" s="140">
        <v>5296.287885</v>
      </c>
    </row>
    <row r="22" ht="30" customHeight="1" spans="1:13">
      <c r="A22" s="116" t="s">
        <v>190</v>
      </c>
      <c r="B22" s="117">
        <v>15646.651904</v>
      </c>
      <c r="C22" s="117">
        <v>15646.651904</v>
      </c>
      <c r="D22" s="118">
        <v>13923.24426856</v>
      </c>
      <c r="E22" s="119">
        <v>14378</v>
      </c>
      <c r="F22" s="120">
        <f t="shared" si="1"/>
        <v>1.03266162129087</v>
      </c>
      <c r="G22" s="119">
        <v>30</v>
      </c>
      <c r="H22" s="119"/>
      <c r="I22" s="119"/>
      <c r="J22" s="138">
        <f t="shared" si="0"/>
        <v>14408</v>
      </c>
      <c r="K22" s="139">
        <f>J22/J28</f>
        <v>0.0239915809665903</v>
      </c>
      <c r="L22" s="140">
        <v>11344</v>
      </c>
      <c r="M22" s="140">
        <v>8498.285956</v>
      </c>
    </row>
    <row r="23" ht="30" customHeight="1" spans="1:13">
      <c r="A23" s="116" t="s">
        <v>191</v>
      </c>
      <c r="B23" s="117">
        <v>1125.868</v>
      </c>
      <c r="C23" s="117">
        <v>1125.868</v>
      </c>
      <c r="D23" s="118">
        <v>1107.063714</v>
      </c>
      <c r="E23" s="119">
        <v>1092</v>
      </c>
      <c r="F23" s="120">
        <f t="shared" si="1"/>
        <v>0.986393092096233</v>
      </c>
      <c r="G23" s="119">
        <v>9</v>
      </c>
      <c r="H23" s="119"/>
      <c r="I23" s="119"/>
      <c r="J23" s="138">
        <f t="shared" si="0"/>
        <v>1101</v>
      </c>
      <c r="K23" s="139">
        <f>J23/J28</f>
        <v>0.0018333377737518</v>
      </c>
      <c r="L23" s="140">
        <v>1068</v>
      </c>
      <c r="M23" s="140">
        <v>1063.144085</v>
      </c>
    </row>
    <row r="24" ht="32.1" customHeight="1" spans="1:13">
      <c r="A24" s="116" t="s">
        <v>192</v>
      </c>
      <c r="B24" s="117">
        <v>1351.106</v>
      </c>
      <c r="C24" s="117">
        <v>1351.106</v>
      </c>
      <c r="D24" s="118">
        <v>1164.292976872</v>
      </c>
      <c r="E24" s="119">
        <v>1421</v>
      </c>
      <c r="F24" s="120">
        <f t="shared" si="1"/>
        <v>1.22048318441091</v>
      </c>
      <c r="G24" s="119">
        <v>1308</v>
      </c>
      <c r="H24" s="119"/>
      <c r="I24" s="119">
        <v>200</v>
      </c>
      <c r="J24" s="138">
        <f t="shared" si="0"/>
        <v>2929</v>
      </c>
      <c r="K24" s="139">
        <f>J24/J28</f>
        <v>0.00487724463153408</v>
      </c>
      <c r="L24" s="141"/>
      <c r="M24" s="141"/>
    </row>
    <row r="25" ht="30" customHeight="1" spans="1:13">
      <c r="A25" s="116" t="s">
        <v>193</v>
      </c>
      <c r="B25" s="117">
        <f>1050+12258.695</f>
        <v>13308.695</v>
      </c>
      <c r="C25" s="117">
        <f>1050+12258.695</f>
        <v>13308.695</v>
      </c>
      <c r="D25" s="118">
        <v>496.21424</v>
      </c>
      <c r="E25" s="119">
        <v>697</v>
      </c>
      <c r="F25" s="120">
        <f t="shared" si="1"/>
        <v>1.40463522368886</v>
      </c>
      <c r="G25" s="119"/>
      <c r="H25" s="119"/>
      <c r="I25" s="119">
        <v>7</v>
      </c>
      <c r="J25" s="138">
        <f t="shared" si="0"/>
        <v>704</v>
      </c>
      <c r="K25" s="139">
        <f>J25/J28</f>
        <v>0.00117227047476954</v>
      </c>
      <c r="L25" s="140">
        <v>567</v>
      </c>
      <c r="M25" s="140">
        <v>1440.210691</v>
      </c>
    </row>
    <row r="26" s="108" customFormat="1" ht="30" customHeight="1" spans="1:13">
      <c r="A26" s="121" t="s">
        <v>194</v>
      </c>
      <c r="B26" s="122">
        <v>2340</v>
      </c>
      <c r="C26" s="122">
        <v>2340</v>
      </c>
      <c r="D26" s="123">
        <v>1972.906295</v>
      </c>
      <c r="E26" s="124">
        <v>2242</v>
      </c>
      <c r="F26" s="125">
        <f t="shared" si="1"/>
        <v>1.13639456961639</v>
      </c>
      <c r="G26" s="124"/>
      <c r="H26" s="124"/>
      <c r="I26" s="124"/>
      <c r="J26" s="142">
        <f t="shared" si="0"/>
        <v>2242</v>
      </c>
      <c r="K26" s="143">
        <f>J26/J28</f>
        <v>0.00373328182447914</v>
      </c>
      <c r="L26" s="144">
        <v>1979</v>
      </c>
      <c r="M26" s="144">
        <v>2347.628032</v>
      </c>
    </row>
    <row r="27" ht="30" customHeight="1" spans="1:13">
      <c r="A27" s="116" t="s">
        <v>195</v>
      </c>
      <c r="B27" s="117">
        <v>40</v>
      </c>
      <c r="C27" s="117">
        <v>40</v>
      </c>
      <c r="D27" s="118">
        <v>14</v>
      </c>
      <c r="E27" s="119">
        <v>12</v>
      </c>
      <c r="F27" s="120">
        <f t="shared" si="1"/>
        <v>0.857142857142857</v>
      </c>
      <c r="G27" s="119"/>
      <c r="H27" s="119"/>
      <c r="I27" s="119"/>
      <c r="J27" s="138">
        <f t="shared" si="0"/>
        <v>12</v>
      </c>
      <c r="K27" s="139">
        <f>J27/J28</f>
        <v>1.99818830926627e-5</v>
      </c>
      <c r="L27" s="140">
        <v>41</v>
      </c>
      <c r="M27" s="140">
        <v>3.26393</v>
      </c>
    </row>
    <row r="28" ht="30" customHeight="1" spans="1:13">
      <c r="A28" s="126" t="s">
        <v>13</v>
      </c>
      <c r="B28" s="127">
        <f>SUM(B6:B27)</f>
        <v>302949.635058</v>
      </c>
      <c r="C28" s="127">
        <f t="shared" ref="C28:G28" si="2">SUM(C6:C27)</f>
        <v>302949.635058</v>
      </c>
      <c r="D28" s="127">
        <f t="shared" si="2"/>
        <v>277138.217051285</v>
      </c>
      <c r="E28" s="127">
        <f t="shared" si="2"/>
        <v>277914</v>
      </c>
      <c r="F28" s="128">
        <f t="shared" si="1"/>
        <v>1.00279926369221</v>
      </c>
      <c r="G28" s="127">
        <f t="shared" si="2"/>
        <v>23615</v>
      </c>
      <c r="H28" s="127">
        <f t="shared" ref="H28" si="3">SUM(H6:H27)</f>
        <v>195590</v>
      </c>
      <c r="I28" s="127">
        <f t="shared" ref="I28:J28" si="4">SUM(I6:I27)</f>
        <v>103425</v>
      </c>
      <c r="J28" s="127">
        <f t="shared" si="4"/>
        <v>600544</v>
      </c>
      <c r="K28" s="139">
        <f>SUM(K6:K26)</f>
        <v>0.999980018116908</v>
      </c>
      <c r="L28" s="140">
        <f>SUM(L6:L27)</f>
        <v>495013</v>
      </c>
      <c r="M28" s="140">
        <v>519992.771376</v>
      </c>
    </row>
    <row r="30" spans="10:10">
      <c r="J30" s="145"/>
    </row>
    <row r="34" ht="42.75" spans="1:6">
      <c r="A34" s="129"/>
      <c r="B34" s="130" t="s">
        <v>196</v>
      </c>
      <c r="C34" s="130" t="s">
        <v>197</v>
      </c>
      <c r="D34" s="131" t="s">
        <v>198</v>
      </c>
      <c r="E34" s="131" t="s">
        <v>199</v>
      </c>
      <c r="F34" s="131" t="s">
        <v>200</v>
      </c>
    </row>
    <row r="35" spans="1:6">
      <c r="A35" s="132">
        <v>2019</v>
      </c>
      <c r="B35" s="133">
        <f>(SUM(J11:J17)+J22+J9+J23)/J28</f>
        <v>0.842307974103479</v>
      </c>
      <c r="C35" s="133">
        <f>(SUM(E11:E17)+E22+E9+E23)/E28</f>
        <v>0.734734486207964</v>
      </c>
      <c r="D35" s="134">
        <f>(SUM(J11:J17)+J22+J9+J23)</f>
        <v>505843</v>
      </c>
      <c r="E35" s="134">
        <f>(SUM(E11:E17)+E22+E9+E23)</f>
        <v>204193</v>
      </c>
      <c r="F35" s="135">
        <f>J6+J8+J9+J10+J12+J13+J14+J15</f>
        <v>496109</v>
      </c>
    </row>
    <row r="36" spans="1:6">
      <c r="A36" s="132">
        <v>2018</v>
      </c>
      <c r="B36" s="133">
        <v>0.851809793405223</v>
      </c>
      <c r="C36" s="133">
        <v>0.767183522904088</v>
      </c>
      <c r="D36" s="134">
        <v>442934.935158</v>
      </c>
      <c r="E36" s="134">
        <v>219497.935158</v>
      </c>
      <c r="F36" s="134">
        <v>415683.116232</v>
      </c>
    </row>
    <row r="37" spans="1:6">
      <c r="A37" s="136">
        <v>2017</v>
      </c>
      <c r="B37" s="133">
        <v>0.828164108821384</v>
      </c>
      <c r="C37" s="133">
        <v>0.753767946355375</v>
      </c>
      <c r="D37" s="134"/>
      <c r="E37" s="134"/>
      <c r="F37" s="134">
        <v>414809</v>
      </c>
    </row>
  </sheetData>
  <mergeCells count="11">
    <mergeCell ref="A2:K2"/>
    <mergeCell ref="A3:K3"/>
    <mergeCell ref="B4:F4"/>
    <mergeCell ref="A4:A5"/>
    <mergeCell ref="G4:G5"/>
    <mergeCell ref="H4:H5"/>
    <mergeCell ref="I4:I5"/>
    <mergeCell ref="J4:J5"/>
    <mergeCell ref="K4:K5"/>
    <mergeCell ref="L4:L5"/>
    <mergeCell ref="M4:M5"/>
  </mergeCells>
  <printOptions horizontalCentered="1"/>
  <pageMargins left="0.590551181102362" right="0.590551181102362" top="0.47244094488189" bottom="0.393700787401575" header="0.31496062992126" footer="0.196850393700787"/>
  <pageSetup paperSize="9" scale="90" fitToHeight="0"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35"/>
  <sheetViews>
    <sheetView topLeftCell="A17" workbookViewId="0">
      <selection activeCell="A17" sqref="A$1:A$1048576"/>
    </sheetView>
  </sheetViews>
  <sheetFormatPr defaultColWidth="9" defaultRowHeight="12"/>
  <cols>
    <col min="1" max="1" width="29.875" style="66" customWidth="1"/>
    <col min="2" max="5" width="16.125" style="67" customWidth="1"/>
    <col min="6" max="6" width="9" style="67"/>
    <col min="7" max="7" width="39.875" style="67" hidden="1" customWidth="1"/>
    <col min="8" max="8" width="12.5" style="67" hidden="1" customWidth="1"/>
    <col min="9" max="11" width="9" style="67" hidden="1" customWidth="1"/>
    <col min="12" max="12" width="9" style="67"/>
    <col min="13" max="14" width="10.375" style="67" customWidth="1"/>
    <col min="15" max="248" width="9" style="67"/>
    <col min="249" max="249" width="29.875" style="67" customWidth="1"/>
    <col min="250" max="250" width="14.625" style="67" customWidth="1"/>
    <col min="251" max="252" width="9" style="67" hidden="1" customWidth="1"/>
    <col min="253" max="253" width="13.25" style="67" customWidth="1"/>
    <col min="254" max="257" width="9" style="67" hidden="1" customWidth="1"/>
    <col min="258" max="258" width="12.5" style="67" customWidth="1"/>
    <col min="259" max="259" width="14.125" style="67" customWidth="1"/>
    <col min="260" max="504" width="9" style="67"/>
    <col min="505" max="505" width="29.875" style="67" customWidth="1"/>
    <col min="506" max="506" width="14.625" style="67" customWidth="1"/>
    <col min="507" max="508" width="9" style="67" hidden="1" customWidth="1"/>
    <col min="509" max="509" width="13.25" style="67" customWidth="1"/>
    <col min="510" max="513" width="9" style="67" hidden="1" customWidth="1"/>
    <col min="514" max="514" width="12.5" style="67" customWidth="1"/>
    <col min="515" max="515" width="14.125" style="67" customWidth="1"/>
    <col min="516" max="760" width="9" style="67"/>
    <col min="761" max="761" width="29.875" style="67" customWidth="1"/>
    <col min="762" max="762" width="14.625" style="67" customWidth="1"/>
    <col min="763" max="764" width="9" style="67" hidden="1" customWidth="1"/>
    <col min="765" max="765" width="13.25" style="67" customWidth="1"/>
    <col min="766" max="769" width="9" style="67" hidden="1" customWidth="1"/>
    <col min="770" max="770" width="12.5" style="67" customWidth="1"/>
    <col min="771" max="771" width="14.125" style="67" customWidth="1"/>
    <col min="772" max="1016" width="9" style="67"/>
    <col min="1017" max="1017" width="29.875" style="67" customWidth="1"/>
    <col min="1018" max="1018" width="14.625" style="67" customWidth="1"/>
    <col min="1019" max="1020" width="9" style="67" hidden="1" customWidth="1"/>
    <col min="1021" max="1021" width="13.25" style="67" customWidth="1"/>
    <col min="1022" max="1025" width="9" style="67" hidden="1" customWidth="1"/>
    <col min="1026" max="1026" width="12.5" style="67" customWidth="1"/>
    <col min="1027" max="1027" width="14.125" style="67" customWidth="1"/>
    <col min="1028" max="1272" width="9" style="67"/>
    <col min="1273" max="1273" width="29.875" style="67" customWidth="1"/>
    <col min="1274" max="1274" width="14.625" style="67" customWidth="1"/>
    <col min="1275" max="1276" width="9" style="67" hidden="1" customWidth="1"/>
    <col min="1277" max="1277" width="13.25" style="67" customWidth="1"/>
    <col min="1278" max="1281" width="9" style="67" hidden="1" customWidth="1"/>
    <col min="1282" max="1282" width="12.5" style="67" customWidth="1"/>
    <col min="1283" max="1283" width="14.125" style="67" customWidth="1"/>
    <col min="1284" max="1528" width="9" style="67"/>
    <col min="1529" max="1529" width="29.875" style="67" customWidth="1"/>
    <col min="1530" max="1530" width="14.625" style="67" customWidth="1"/>
    <col min="1531" max="1532" width="9" style="67" hidden="1" customWidth="1"/>
    <col min="1533" max="1533" width="13.25" style="67" customWidth="1"/>
    <col min="1534" max="1537" width="9" style="67" hidden="1" customWidth="1"/>
    <col min="1538" max="1538" width="12.5" style="67" customWidth="1"/>
    <col min="1539" max="1539" width="14.125" style="67" customWidth="1"/>
    <col min="1540" max="1784" width="9" style="67"/>
    <col min="1785" max="1785" width="29.875" style="67" customWidth="1"/>
    <col min="1786" max="1786" width="14.625" style="67" customWidth="1"/>
    <col min="1787" max="1788" width="9" style="67" hidden="1" customWidth="1"/>
    <col min="1789" max="1789" width="13.25" style="67" customWidth="1"/>
    <col min="1790" max="1793" width="9" style="67" hidden="1" customWidth="1"/>
    <col min="1794" max="1794" width="12.5" style="67" customWidth="1"/>
    <col min="1795" max="1795" width="14.125" style="67" customWidth="1"/>
    <col min="1796" max="2040" width="9" style="67"/>
    <col min="2041" max="2041" width="29.875" style="67" customWidth="1"/>
    <col min="2042" max="2042" width="14.625" style="67" customWidth="1"/>
    <col min="2043" max="2044" width="9" style="67" hidden="1" customWidth="1"/>
    <col min="2045" max="2045" width="13.25" style="67" customWidth="1"/>
    <col min="2046" max="2049" width="9" style="67" hidden="1" customWidth="1"/>
    <col min="2050" max="2050" width="12.5" style="67" customWidth="1"/>
    <col min="2051" max="2051" width="14.125" style="67" customWidth="1"/>
    <col min="2052" max="2296" width="9" style="67"/>
    <col min="2297" max="2297" width="29.875" style="67" customWidth="1"/>
    <col min="2298" max="2298" width="14.625" style="67" customWidth="1"/>
    <col min="2299" max="2300" width="9" style="67" hidden="1" customWidth="1"/>
    <col min="2301" max="2301" width="13.25" style="67" customWidth="1"/>
    <col min="2302" max="2305" width="9" style="67" hidden="1" customWidth="1"/>
    <col min="2306" max="2306" width="12.5" style="67" customWidth="1"/>
    <col min="2307" max="2307" width="14.125" style="67" customWidth="1"/>
    <col min="2308" max="2552" width="9" style="67"/>
    <col min="2553" max="2553" width="29.875" style="67" customWidth="1"/>
    <col min="2554" max="2554" width="14.625" style="67" customWidth="1"/>
    <col min="2555" max="2556" width="9" style="67" hidden="1" customWidth="1"/>
    <col min="2557" max="2557" width="13.25" style="67" customWidth="1"/>
    <col min="2558" max="2561" width="9" style="67" hidden="1" customWidth="1"/>
    <col min="2562" max="2562" width="12.5" style="67" customWidth="1"/>
    <col min="2563" max="2563" width="14.125" style="67" customWidth="1"/>
    <col min="2564" max="2808" width="9" style="67"/>
    <col min="2809" max="2809" width="29.875" style="67" customWidth="1"/>
    <col min="2810" max="2810" width="14.625" style="67" customWidth="1"/>
    <col min="2811" max="2812" width="9" style="67" hidden="1" customWidth="1"/>
    <col min="2813" max="2813" width="13.25" style="67" customWidth="1"/>
    <col min="2814" max="2817" width="9" style="67" hidden="1" customWidth="1"/>
    <col min="2818" max="2818" width="12.5" style="67" customWidth="1"/>
    <col min="2819" max="2819" width="14.125" style="67" customWidth="1"/>
    <col min="2820" max="3064" width="9" style="67"/>
    <col min="3065" max="3065" width="29.875" style="67" customWidth="1"/>
    <col min="3066" max="3066" width="14.625" style="67" customWidth="1"/>
    <col min="3067" max="3068" width="9" style="67" hidden="1" customWidth="1"/>
    <col min="3069" max="3069" width="13.25" style="67" customWidth="1"/>
    <col min="3070" max="3073" width="9" style="67" hidden="1" customWidth="1"/>
    <col min="3074" max="3074" width="12.5" style="67" customWidth="1"/>
    <col min="3075" max="3075" width="14.125" style="67" customWidth="1"/>
    <col min="3076" max="3320" width="9" style="67"/>
    <col min="3321" max="3321" width="29.875" style="67" customWidth="1"/>
    <col min="3322" max="3322" width="14.625" style="67" customWidth="1"/>
    <col min="3323" max="3324" width="9" style="67" hidden="1" customWidth="1"/>
    <col min="3325" max="3325" width="13.25" style="67" customWidth="1"/>
    <col min="3326" max="3329" width="9" style="67" hidden="1" customWidth="1"/>
    <col min="3330" max="3330" width="12.5" style="67" customWidth="1"/>
    <col min="3331" max="3331" width="14.125" style="67" customWidth="1"/>
    <col min="3332" max="3576" width="9" style="67"/>
    <col min="3577" max="3577" width="29.875" style="67" customWidth="1"/>
    <col min="3578" max="3578" width="14.625" style="67" customWidth="1"/>
    <col min="3579" max="3580" width="9" style="67" hidden="1" customWidth="1"/>
    <col min="3581" max="3581" width="13.25" style="67" customWidth="1"/>
    <col min="3582" max="3585" width="9" style="67" hidden="1" customWidth="1"/>
    <col min="3586" max="3586" width="12.5" style="67" customWidth="1"/>
    <col min="3587" max="3587" width="14.125" style="67" customWidth="1"/>
    <col min="3588" max="3832" width="9" style="67"/>
    <col min="3833" max="3833" width="29.875" style="67" customWidth="1"/>
    <col min="3834" max="3834" width="14.625" style="67" customWidth="1"/>
    <col min="3835" max="3836" width="9" style="67" hidden="1" customWidth="1"/>
    <col min="3837" max="3837" width="13.25" style="67" customWidth="1"/>
    <col min="3838" max="3841" width="9" style="67" hidden="1" customWidth="1"/>
    <col min="3842" max="3842" width="12.5" style="67" customWidth="1"/>
    <col min="3843" max="3843" width="14.125" style="67" customWidth="1"/>
    <col min="3844" max="4088" width="9" style="67"/>
    <col min="4089" max="4089" width="29.875" style="67" customWidth="1"/>
    <col min="4090" max="4090" width="14.625" style="67" customWidth="1"/>
    <col min="4091" max="4092" width="9" style="67" hidden="1" customWidth="1"/>
    <col min="4093" max="4093" width="13.25" style="67" customWidth="1"/>
    <col min="4094" max="4097" width="9" style="67" hidden="1" customWidth="1"/>
    <col min="4098" max="4098" width="12.5" style="67" customWidth="1"/>
    <col min="4099" max="4099" width="14.125" style="67" customWidth="1"/>
    <col min="4100" max="4344" width="9" style="67"/>
    <col min="4345" max="4345" width="29.875" style="67" customWidth="1"/>
    <col min="4346" max="4346" width="14.625" style="67" customWidth="1"/>
    <col min="4347" max="4348" width="9" style="67" hidden="1" customWidth="1"/>
    <col min="4349" max="4349" width="13.25" style="67" customWidth="1"/>
    <col min="4350" max="4353" width="9" style="67" hidden="1" customWidth="1"/>
    <col min="4354" max="4354" width="12.5" style="67" customWidth="1"/>
    <col min="4355" max="4355" width="14.125" style="67" customWidth="1"/>
    <col min="4356" max="4600" width="9" style="67"/>
    <col min="4601" max="4601" width="29.875" style="67" customWidth="1"/>
    <col min="4602" max="4602" width="14.625" style="67" customWidth="1"/>
    <col min="4603" max="4604" width="9" style="67" hidden="1" customWidth="1"/>
    <col min="4605" max="4605" width="13.25" style="67" customWidth="1"/>
    <col min="4606" max="4609" width="9" style="67" hidden="1" customWidth="1"/>
    <col min="4610" max="4610" width="12.5" style="67" customWidth="1"/>
    <col min="4611" max="4611" width="14.125" style="67" customWidth="1"/>
    <col min="4612" max="4856" width="9" style="67"/>
    <col min="4857" max="4857" width="29.875" style="67" customWidth="1"/>
    <col min="4858" max="4858" width="14.625" style="67" customWidth="1"/>
    <col min="4859" max="4860" width="9" style="67" hidden="1" customWidth="1"/>
    <col min="4861" max="4861" width="13.25" style="67" customWidth="1"/>
    <col min="4862" max="4865" width="9" style="67" hidden="1" customWidth="1"/>
    <col min="4866" max="4866" width="12.5" style="67" customWidth="1"/>
    <col min="4867" max="4867" width="14.125" style="67" customWidth="1"/>
    <col min="4868" max="5112" width="9" style="67"/>
    <col min="5113" max="5113" width="29.875" style="67" customWidth="1"/>
    <col min="5114" max="5114" width="14.625" style="67" customWidth="1"/>
    <col min="5115" max="5116" width="9" style="67" hidden="1" customWidth="1"/>
    <col min="5117" max="5117" width="13.25" style="67" customWidth="1"/>
    <col min="5118" max="5121" width="9" style="67" hidden="1" customWidth="1"/>
    <col min="5122" max="5122" width="12.5" style="67" customWidth="1"/>
    <col min="5123" max="5123" width="14.125" style="67" customWidth="1"/>
    <col min="5124" max="5368" width="9" style="67"/>
    <col min="5369" max="5369" width="29.875" style="67" customWidth="1"/>
    <col min="5370" max="5370" width="14.625" style="67" customWidth="1"/>
    <col min="5371" max="5372" width="9" style="67" hidden="1" customWidth="1"/>
    <col min="5373" max="5373" width="13.25" style="67" customWidth="1"/>
    <col min="5374" max="5377" width="9" style="67" hidden="1" customWidth="1"/>
    <col min="5378" max="5378" width="12.5" style="67" customWidth="1"/>
    <col min="5379" max="5379" width="14.125" style="67" customWidth="1"/>
    <col min="5380" max="5624" width="9" style="67"/>
    <col min="5625" max="5625" width="29.875" style="67" customWidth="1"/>
    <col min="5626" max="5626" width="14.625" style="67" customWidth="1"/>
    <col min="5627" max="5628" width="9" style="67" hidden="1" customWidth="1"/>
    <col min="5629" max="5629" width="13.25" style="67" customWidth="1"/>
    <col min="5630" max="5633" width="9" style="67" hidden="1" customWidth="1"/>
    <col min="5634" max="5634" width="12.5" style="67" customWidth="1"/>
    <col min="5635" max="5635" width="14.125" style="67" customWidth="1"/>
    <col min="5636" max="5880" width="9" style="67"/>
    <col min="5881" max="5881" width="29.875" style="67" customWidth="1"/>
    <col min="5882" max="5882" width="14.625" style="67" customWidth="1"/>
    <col min="5883" max="5884" width="9" style="67" hidden="1" customWidth="1"/>
    <col min="5885" max="5885" width="13.25" style="67" customWidth="1"/>
    <col min="5886" max="5889" width="9" style="67" hidden="1" customWidth="1"/>
    <col min="5890" max="5890" width="12.5" style="67" customWidth="1"/>
    <col min="5891" max="5891" width="14.125" style="67" customWidth="1"/>
    <col min="5892" max="6136" width="9" style="67"/>
    <col min="6137" max="6137" width="29.875" style="67" customWidth="1"/>
    <col min="6138" max="6138" width="14.625" style="67" customWidth="1"/>
    <col min="6139" max="6140" width="9" style="67" hidden="1" customWidth="1"/>
    <col min="6141" max="6141" width="13.25" style="67" customWidth="1"/>
    <col min="6142" max="6145" width="9" style="67" hidden="1" customWidth="1"/>
    <col min="6146" max="6146" width="12.5" style="67" customWidth="1"/>
    <col min="6147" max="6147" width="14.125" style="67" customWidth="1"/>
    <col min="6148" max="6392" width="9" style="67"/>
    <col min="6393" max="6393" width="29.875" style="67" customWidth="1"/>
    <col min="6394" max="6394" width="14.625" style="67" customWidth="1"/>
    <col min="6395" max="6396" width="9" style="67" hidden="1" customWidth="1"/>
    <col min="6397" max="6397" width="13.25" style="67" customWidth="1"/>
    <col min="6398" max="6401" width="9" style="67" hidden="1" customWidth="1"/>
    <col min="6402" max="6402" width="12.5" style="67" customWidth="1"/>
    <col min="6403" max="6403" width="14.125" style="67" customWidth="1"/>
    <col min="6404" max="6648" width="9" style="67"/>
    <col min="6649" max="6649" width="29.875" style="67" customWidth="1"/>
    <col min="6650" max="6650" width="14.625" style="67" customWidth="1"/>
    <col min="6651" max="6652" width="9" style="67" hidden="1" customWidth="1"/>
    <col min="6653" max="6653" width="13.25" style="67" customWidth="1"/>
    <col min="6654" max="6657" width="9" style="67" hidden="1" customWidth="1"/>
    <col min="6658" max="6658" width="12.5" style="67" customWidth="1"/>
    <col min="6659" max="6659" width="14.125" style="67" customWidth="1"/>
    <col min="6660" max="6904" width="9" style="67"/>
    <col min="6905" max="6905" width="29.875" style="67" customWidth="1"/>
    <col min="6906" max="6906" width="14.625" style="67" customWidth="1"/>
    <col min="6907" max="6908" width="9" style="67" hidden="1" customWidth="1"/>
    <col min="6909" max="6909" width="13.25" style="67" customWidth="1"/>
    <col min="6910" max="6913" width="9" style="67" hidden="1" customWidth="1"/>
    <col min="6914" max="6914" width="12.5" style="67" customWidth="1"/>
    <col min="6915" max="6915" width="14.125" style="67" customWidth="1"/>
    <col min="6916" max="7160" width="9" style="67"/>
    <col min="7161" max="7161" width="29.875" style="67" customWidth="1"/>
    <col min="7162" max="7162" width="14.625" style="67" customWidth="1"/>
    <col min="7163" max="7164" width="9" style="67" hidden="1" customWidth="1"/>
    <col min="7165" max="7165" width="13.25" style="67" customWidth="1"/>
    <col min="7166" max="7169" width="9" style="67" hidden="1" customWidth="1"/>
    <col min="7170" max="7170" width="12.5" style="67" customWidth="1"/>
    <col min="7171" max="7171" width="14.125" style="67" customWidth="1"/>
    <col min="7172" max="7416" width="9" style="67"/>
    <col min="7417" max="7417" width="29.875" style="67" customWidth="1"/>
    <col min="7418" max="7418" width="14.625" style="67" customWidth="1"/>
    <col min="7419" max="7420" width="9" style="67" hidden="1" customWidth="1"/>
    <col min="7421" max="7421" width="13.25" style="67" customWidth="1"/>
    <col min="7422" max="7425" width="9" style="67" hidden="1" customWidth="1"/>
    <col min="7426" max="7426" width="12.5" style="67" customWidth="1"/>
    <col min="7427" max="7427" width="14.125" style="67" customWidth="1"/>
    <col min="7428" max="7672" width="9" style="67"/>
    <col min="7673" max="7673" width="29.875" style="67" customWidth="1"/>
    <col min="7674" max="7674" width="14.625" style="67" customWidth="1"/>
    <col min="7675" max="7676" width="9" style="67" hidden="1" customWidth="1"/>
    <col min="7677" max="7677" width="13.25" style="67" customWidth="1"/>
    <col min="7678" max="7681" width="9" style="67" hidden="1" customWidth="1"/>
    <col min="7682" max="7682" width="12.5" style="67" customWidth="1"/>
    <col min="7683" max="7683" width="14.125" style="67" customWidth="1"/>
    <col min="7684" max="7928" width="9" style="67"/>
    <col min="7929" max="7929" width="29.875" style="67" customWidth="1"/>
    <col min="7930" max="7930" width="14.625" style="67" customWidth="1"/>
    <col min="7931" max="7932" width="9" style="67" hidden="1" customWidth="1"/>
    <col min="7933" max="7933" width="13.25" style="67" customWidth="1"/>
    <col min="7934" max="7937" width="9" style="67" hidden="1" customWidth="1"/>
    <col min="7938" max="7938" width="12.5" style="67" customWidth="1"/>
    <col min="7939" max="7939" width="14.125" style="67" customWidth="1"/>
    <col min="7940" max="8184" width="9" style="67"/>
    <col min="8185" max="8185" width="29.875" style="67" customWidth="1"/>
    <col min="8186" max="8186" width="14.625" style="67" customWidth="1"/>
    <col min="8187" max="8188" width="9" style="67" hidden="1" customWidth="1"/>
    <col min="8189" max="8189" width="13.25" style="67" customWidth="1"/>
    <col min="8190" max="8193" width="9" style="67" hidden="1" customWidth="1"/>
    <col min="8194" max="8194" width="12.5" style="67" customWidth="1"/>
    <col min="8195" max="8195" width="14.125" style="67" customWidth="1"/>
    <col min="8196" max="8440" width="9" style="67"/>
    <col min="8441" max="8441" width="29.875" style="67" customWidth="1"/>
    <col min="8442" max="8442" width="14.625" style="67" customWidth="1"/>
    <col min="8443" max="8444" width="9" style="67" hidden="1" customWidth="1"/>
    <col min="8445" max="8445" width="13.25" style="67" customWidth="1"/>
    <col min="8446" max="8449" width="9" style="67" hidden="1" customWidth="1"/>
    <col min="8450" max="8450" width="12.5" style="67" customWidth="1"/>
    <col min="8451" max="8451" width="14.125" style="67" customWidth="1"/>
    <col min="8452" max="8696" width="9" style="67"/>
    <col min="8697" max="8697" width="29.875" style="67" customWidth="1"/>
    <col min="8698" max="8698" width="14.625" style="67" customWidth="1"/>
    <col min="8699" max="8700" width="9" style="67" hidden="1" customWidth="1"/>
    <col min="8701" max="8701" width="13.25" style="67" customWidth="1"/>
    <col min="8702" max="8705" width="9" style="67" hidden="1" customWidth="1"/>
    <col min="8706" max="8706" width="12.5" style="67" customWidth="1"/>
    <col min="8707" max="8707" width="14.125" style="67" customWidth="1"/>
    <col min="8708" max="8952" width="9" style="67"/>
    <col min="8953" max="8953" width="29.875" style="67" customWidth="1"/>
    <col min="8954" max="8954" width="14.625" style="67" customWidth="1"/>
    <col min="8955" max="8956" width="9" style="67" hidden="1" customWidth="1"/>
    <col min="8957" max="8957" width="13.25" style="67" customWidth="1"/>
    <col min="8958" max="8961" width="9" style="67" hidden="1" customWidth="1"/>
    <col min="8962" max="8962" width="12.5" style="67" customWidth="1"/>
    <col min="8963" max="8963" width="14.125" style="67" customWidth="1"/>
    <col min="8964" max="9208" width="9" style="67"/>
    <col min="9209" max="9209" width="29.875" style="67" customWidth="1"/>
    <col min="9210" max="9210" width="14.625" style="67" customWidth="1"/>
    <col min="9211" max="9212" width="9" style="67" hidden="1" customWidth="1"/>
    <col min="9213" max="9213" width="13.25" style="67" customWidth="1"/>
    <col min="9214" max="9217" width="9" style="67" hidden="1" customWidth="1"/>
    <col min="9218" max="9218" width="12.5" style="67" customWidth="1"/>
    <col min="9219" max="9219" width="14.125" style="67" customWidth="1"/>
    <col min="9220" max="9464" width="9" style="67"/>
    <col min="9465" max="9465" width="29.875" style="67" customWidth="1"/>
    <col min="9466" max="9466" width="14.625" style="67" customWidth="1"/>
    <col min="9467" max="9468" width="9" style="67" hidden="1" customWidth="1"/>
    <col min="9469" max="9469" width="13.25" style="67" customWidth="1"/>
    <col min="9470" max="9473" width="9" style="67" hidden="1" customWidth="1"/>
    <col min="9474" max="9474" width="12.5" style="67" customWidth="1"/>
    <col min="9475" max="9475" width="14.125" style="67" customWidth="1"/>
    <col min="9476" max="9720" width="9" style="67"/>
    <col min="9721" max="9721" width="29.875" style="67" customWidth="1"/>
    <col min="9722" max="9722" width="14.625" style="67" customWidth="1"/>
    <col min="9723" max="9724" width="9" style="67" hidden="1" customWidth="1"/>
    <col min="9725" max="9725" width="13.25" style="67" customWidth="1"/>
    <col min="9726" max="9729" width="9" style="67" hidden="1" customWidth="1"/>
    <col min="9730" max="9730" width="12.5" style="67" customWidth="1"/>
    <col min="9731" max="9731" width="14.125" style="67" customWidth="1"/>
    <col min="9732" max="9976" width="9" style="67"/>
    <col min="9977" max="9977" width="29.875" style="67" customWidth="1"/>
    <col min="9978" max="9978" width="14.625" style="67" customWidth="1"/>
    <col min="9979" max="9980" width="9" style="67" hidden="1" customWidth="1"/>
    <col min="9981" max="9981" width="13.25" style="67" customWidth="1"/>
    <col min="9982" max="9985" width="9" style="67" hidden="1" customWidth="1"/>
    <col min="9986" max="9986" width="12.5" style="67" customWidth="1"/>
    <col min="9987" max="9987" width="14.125" style="67" customWidth="1"/>
    <col min="9988" max="10232" width="9" style="67"/>
    <col min="10233" max="10233" width="29.875" style="67" customWidth="1"/>
    <col min="10234" max="10234" width="14.625" style="67" customWidth="1"/>
    <col min="10235" max="10236" width="9" style="67" hidden="1" customWidth="1"/>
    <col min="10237" max="10237" width="13.25" style="67" customWidth="1"/>
    <col min="10238" max="10241" width="9" style="67" hidden="1" customWidth="1"/>
    <col min="10242" max="10242" width="12.5" style="67" customWidth="1"/>
    <col min="10243" max="10243" width="14.125" style="67" customWidth="1"/>
    <col min="10244" max="10488" width="9" style="67"/>
    <col min="10489" max="10489" width="29.875" style="67" customWidth="1"/>
    <col min="10490" max="10490" width="14.625" style="67" customWidth="1"/>
    <col min="10491" max="10492" width="9" style="67" hidden="1" customWidth="1"/>
    <col min="10493" max="10493" width="13.25" style="67" customWidth="1"/>
    <col min="10494" max="10497" width="9" style="67" hidden="1" customWidth="1"/>
    <col min="10498" max="10498" width="12.5" style="67" customWidth="1"/>
    <col min="10499" max="10499" width="14.125" style="67" customWidth="1"/>
    <col min="10500" max="10744" width="9" style="67"/>
    <col min="10745" max="10745" width="29.875" style="67" customWidth="1"/>
    <col min="10746" max="10746" width="14.625" style="67" customWidth="1"/>
    <col min="10747" max="10748" width="9" style="67" hidden="1" customWidth="1"/>
    <col min="10749" max="10749" width="13.25" style="67" customWidth="1"/>
    <col min="10750" max="10753" width="9" style="67" hidden="1" customWidth="1"/>
    <col min="10754" max="10754" width="12.5" style="67" customWidth="1"/>
    <col min="10755" max="10755" width="14.125" style="67" customWidth="1"/>
    <col min="10756" max="11000" width="9" style="67"/>
    <col min="11001" max="11001" width="29.875" style="67" customWidth="1"/>
    <col min="11002" max="11002" width="14.625" style="67" customWidth="1"/>
    <col min="11003" max="11004" width="9" style="67" hidden="1" customWidth="1"/>
    <col min="11005" max="11005" width="13.25" style="67" customWidth="1"/>
    <col min="11006" max="11009" width="9" style="67" hidden="1" customWidth="1"/>
    <col min="11010" max="11010" width="12.5" style="67" customWidth="1"/>
    <col min="11011" max="11011" width="14.125" style="67" customWidth="1"/>
    <col min="11012" max="11256" width="9" style="67"/>
    <col min="11257" max="11257" width="29.875" style="67" customWidth="1"/>
    <col min="11258" max="11258" width="14.625" style="67" customWidth="1"/>
    <col min="11259" max="11260" width="9" style="67" hidden="1" customWidth="1"/>
    <col min="11261" max="11261" width="13.25" style="67" customWidth="1"/>
    <col min="11262" max="11265" width="9" style="67" hidden="1" customWidth="1"/>
    <col min="11266" max="11266" width="12.5" style="67" customWidth="1"/>
    <col min="11267" max="11267" width="14.125" style="67" customWidth="1"/>
    <col min="11268" max="11512" width="9" style="67"/>
    <col min="11513" max="11513" width="29.875" style="67" customWidth="1"/>
    <col min="11514" max="11514" width="14.625" style="67" customWidth="1"/>
    <col min="11515" max="11516" width="9" style="67" hidden="1" customWidth="1"/>
    <col min="11517" max="11517" width="13.25" style="67" customWidth="1"/>
    <col min="11518" max="11521" width="9" style="67" hidden="1" customWidth="1"/>
    <col min="11522" max="11522" width="12.5" style="67" customWidth="1"/>
    <col min="11523" max="11523" width="14.125" style="67" customWidth="1"/>
    <col min="11524" max="11768" width="9" style="67"/>
    <col min="11769" max="11769" width="29.875" style="67" customWidth="1"/>
    <col min="11770" max="11770" width="14.625" style="67" customWidth="1"/>
    <col min="11771" max="11772" width="9" style="67" hidden="1" customWidth="1"/>
    <col min="11773" max="11773" width="13.25" style="67" customWidth="1"/>
    <col min="11774" max="11777" width="9" style="67" hidden="1" customWidth="1"/>
    <col min="11778" max="11778" width="12.5" style="67" customWidth="1"/>
    <col min="11779" max="11779" width="14.125" style="67" customWidth="1"/>
    <col min="11780" max="12024" width="9" style="67"/>
    <col min="12025" max="12025" width="29.875" style="67" customWidth="1"/>
    <col min="12026" max="12026" width="14.625" style="67" customWidth="1"/>
    <col min="12027" max="12028" width="9" style="67" hidden="1" customWidth="1"/>
    <col min="12029" max="12029" width="13.25" style="67" customWidth="1"/>
    <col min="12030" max="12033" width="9" style="67" hidden="1" customWidth="1"/>
    <col min="12034" max="12034" width="12.5" style="67" customWidth="1"/>
    <col min="12035" max="12035" width="14.125" style="67" customWidth="1"/>
    <col min="12036" max="12280" width="9" style="67"/>
    <col min="12281" max="12281" width="29.875" style="67" customWidth="1"/>
    <col min="12282" max="12282" width="14.625" style="67" customWidth="1"/>
    <col min="12283" max="12284" width="9" style="67" hidden="1" customWidth="1"/>
    <col min="12285" max="12285" width="13.25" style="67" customWidth="1"/>
    <col min="12286" max="12289" width="9" style="67" hidden="1" customWidth="1"/>
    <col min="12290" max="12290" width="12.5" style="67" customWidth="1"/>
    <col min="12291" max="12291" width="14.125" style="67" customWidth="1"/>
    <col min="12292" max="12536" width="9" style="67"/>
    <col min="12537" max="12537" width="29.875" style="67" customWidth="1"/>
    <col min="12538" max="12538" width="14.625" style="67" customWidth="1"/>
    <col min="12539" max="12540" width="9" style="67" hidden="1" customWidth="1"/>
    <col min="12541" max="12541" width="13.25" style="67" customWidth="1"/>
    <col min="12542" max="12545" width="9" style="67" hidden="1" customWidth="1"/>
    <col min="12546" max="12546" width="12.5" style="67" customWidth="1"/>
    <col min="12547" max="12547" width="14.125" style="67" customWidth="1"/>
    <col min="12548" max="12792" width="9" style="67"/>
    <col min="12793" max="12793" width="29.875" style="67" customWidth="1"/>
    <col min="12794" max="12794" width="14.625" style="67" customWidth="1"/>
    <col min="12795" max="12796" width="9" style="67" hidden="1" customWidth="1"/>
    <col min="12797" max="12797" width="13.25" style="67" customWidth="1"/>
    <col min="12798" max="12801" width="9" style="67" hidden="1" customWidth="1"/>
    <col min="12802" max="12802" width="12.5" style="67" customWidth="1"/>
    <col min="12803" max="12803" width="14.125" style="67" customWidth="1"/>
    <col min="12804" max="13048" width="9" style="67"/>
    <col min="13049" max="13049" width="29.875" style="67" customWidth="1"/>
    <col min="13050" max="13050" width="14.625" style="67" customWidth="1"/>
    <col min="13051" max="13052" width="9" style="67" hidden="1" customWidth="1"/>
    <col min="13053" max="13053" width="13.25" style="67" customWidth="1"/>
    <col min="13054" max="13057" width="9" style="67" hidden="1" customWidth="1"/>
    <col min="13058" max="13058" width="12.5" style="67" customWidth="1"/>
    <col min="13059" max="13059" width="14.125" style="67" customWidth="1"/>
    <col min="13060" max="13304" width="9" style="67"/>
    <col min="13305" max="13305" width="29.875" style="67" customWidth="1"/>
    <col min="13306" max="13306" width="14.625" style="67" customWidth="1"/>
    <col min="13307" max="13308" width="9" style="67" hidden="1" customWidth="1"/>
    <col min="13309" max="13309" width="13.25" style="67" customWidth="1"/>
    <col min="13310" max="13313" width="9" style="67" hidden="1" customWidth="1"/>
    <col min="13314" max="13314" width="12.5" style="67" customWidth="1"/>
    <col min="13315" max="13315" width="14.125" style="67" customWidth="1"/>
    <col min="13316" max="13560" width="9" style="67"/>
    <col min="13561" max="13561" width="29.875" style="67" customWidth="1"/>
    <col min="13562" max="13562" width="14.625" style="67" customWidth="1"/>
    <col min="13563" max="13564" width="9" style="67" hidden="1" customWidth="1"/>
    <col min="13565" max="13565" width="13.25" style="67" customWidth="1"/>
    <col min="13566" max="13569" width="9" style="67" hidden="1" customWidth="1"/>
    <col min="13570" max="13570" width="12.5" style="67" customWidth="1"/>
    <col min="13571" max="13571" width="14.125" style="67" customWidth="1"/>
    <col min="13572" max="13816" width="9" style="67"/>
    <col min="13817" max="13817" width="29.875" style="67" customWidth="1"/>
    <col min="13818" max="13818" width="14.625" style="67" customWidth="1"/>
    <col min="13819" max="13820" width="9" style="67" hidden="1" customWidth="1"/>
    <col min="13821" max="13821" width="13.25" style="67" customWidth="1"/>
    <col min="13822" max="13825" width="9" style="67" hidden="1" customWidth="1"/>
    <col min="13826" max="13826" width="12.5" style="67" customWidth="1"/>
    <col min="13827" max="13827" width="14.125" style="67" customWidth="1"/>
    <col min="13828" max="14072" width="9" style="67"/>
    <col min="14073" max="14073" width="29.875" style="67" customWidth="1"/>
    <col min="14074" max="14074" width="14.625" style="67" customWidth="1"/>
    <col min="14075" max="14076" width="9" style="67" hidden="1" customWidth="1"/>
    <col min="14077" max="14077" width="13.25" style="67" customWidth="1"/>
    <col min="14078" max="14081" width="9" style="67" hidden="1" customWidth="1"/>
    <col min="14082" max="14082" width="12.5" style="67" customWidth="1"/>
    <col min="14083" max="14083" width="14.125" style="67" customWidth="1"/>
    <col min="14084" max="14328" width="9" style="67"/>
    <col min="14329" max="14329" width="29.875" style="67" customWidth="1"/>
    <col min="14330" max="14330" width="14.625" style="67" customWidth="1"/>
    <col min="14331" max="14332" width="9" style="67" hidden="1" customWidth="1"/>
    <col min="14333" max="14333" width="13.25" style="67" customWidth="1"/>
    <col min="14334" max="14337" width="9" style="67" hidden="1" customWidth="1"/>
    <col min="14338" max="14338" width="12.5" style="67" customWidth="1"/>
    <col min="14339" max="14339" width="14.125" style="67" customWidth="1"/>
    <col min="14340" max="14584" width="9" style="67"/>
    <col min="14585" max="14585" width="29.875" style="67" customWidth="1"/>
    <col min="14586" max="14586" width="14.625" style="67" customWidth="1"/>
    <col min="14587" max="14588" width="9" style="67" hidden="1" customWidth="1"/>
    <col min="14589" max="14589" width="13.25" style="67" customWidth="1"/>
    <col min="14590" max="14593" width="9" style="67" hidden="1" customWidth="1"/>
    <col min="14594" max="14594" width="12.5" style="67" customWidth="1"/>
    <col min="14595" max="14595" width="14.125" style="67" customWidth="1"/>
    <col min="14596" max="14840" width="9" style="67"/>
    <col min="14841" max="14841" width="29.875" style="67" customWidth="1"/>
    <col min="14842" max="14842" width="14.625" style="67" customWidth="1"/>
    <col min="14843" max="14844" width="9" style="67" hidden="1" customWidth="1"/>
    <col min="14845" max="14845" width="13.25" style="67" customWidth="1"/>
    <col min="14846" max="14849" width="9" style="67" hidden="1" customWidth="1"/>
    <col min="14850" max="14850" width="12.5" style="67" customWidth="1"/>
    <col min="14851" max="14851" width="14.125" style="67" customWidth="1"/>
    <col min="14852" max="15096" width="9" style="67"/>
    <col min="15097" max="15097" width="29.875" style="67" customWidth="1"/>
    <col min="15098" max="15098" width="14.625" style="67" customWidth="1"/>
    <col min="15099" max="15100" width="9" style="67" hidden="1" customWidth="1"/>
    <col min="15101" max="15101" width="13.25" style="67" customWidth="1"/>
    <col min="15102" max="15105" width="9" style="67" hidden="1" customWidth="1"/>
    <col min="15106" max="15106" width="12.5" style="67" customWidth="1"/>
    <col min="15107" max="15107" width="14.125" style="67" customWidth="1"/>
    <col min="15108" max="15352" width="9" style="67"/>
    <col min="15353" max="15353" width="29.875" style="67" customWidth="1"/>
    <col min="15354" max="15354" width="14.625" style="67" customWidth="1"/>
    <col min="15355" max="15356" width="9" style="67" hidden="1" customWidth="1"/>
    <col min="15357" max="15357" width="13.25" style="67" customWidth="1"/>
    <col min="15358" max="15361" width="9" style="67" hidden="1" customWidth="1"/>
    <col min="15362" max="15362" width="12.5" style="67" customWidth="1"/>
    <col min="15363" max="15363" width="14.125" style="67" customWidth="1"/>
    <col min="15364" max="15608" width="9" style="67"/>
    <col min="15609" max="15609" width="29.875" style="67" customWidth="1"/>
    <col min="15610" max="15610" width="14.625" style="67" customWidth="1"/>
    <col min="15611" max="15612" width="9" style="67" hidden="1" customWidth="1"/>
    <col min="15613" max="15613" width="13.25" style="67" customWidth="1"/>
    <col min="15614" max="15617" width="9" style="67" hidden="1" customWidth="1"/>
    <col min="15618" max="15618" width="12.5" style="67" customWidth="1"/>
    <col min="15619" max="15619" width="14.125" style="67" customWidth="1"/>
    <col min="15620" max="15864" width="9" style="67"/>
    <col min="15865" max="15865" width="29.875" style="67" customWidth="1"/>
    <col min="15866" max="15866" width="14.625" style="67" customWidth="1"/>
    <col min="15867" max="15868" width="9" style="67" hidden="1" customWidth="1"/>
    <col min="15869" max="15869" width="13.25" style="67" customWidth="1"/>
    <col min="15870" max="15873" width="9" style="67" hidden="1" customWidth="1"/>
    <col min="15874" max="15874" width="12.5" style="67" customWidth="1"/>
    <col min="15875" max="15875" width="14.125" style="67" customWidth="1"/>
    <col min="15876" max="16120" width="9" style="67"/>
    <col min="16121" max="16121" width="29.875" style="67" customWidth="1"/>
    <col min="16122" max="16122" width="14.625" style="67" customWidth="1"/>
    <col min="16123" max="16124" width="9" style="67" hidden="1" customWidth="1"/>
    <col min="16125" max="16125" width="13.25" style="67" customWidth="1"/>
    <col min="16126" max="16129" width="9" style="67" hidden="1" customWidth="1"/>
    <col min="16130" max="16130" width="12.5" style="67" customWidth="1"/>
    <col min="16131" max="16131" width="14.125" style="67" customWidth="1"/>
    <col min="16132" max="16384" width="9" style="67"/>
  </cols>
  <sheetData>
    <row r="1" ht="21.75" customHeight="1" spans="1:1">
      <c r="A1" s="68" t="s">
        <v>201</v>
      </c>
    </row>
    <row r="2" ht="37.5" customHeight="1" spans="1:5">
      <c r="A2" s="69" t="s">
        <v>202</v>
      </c>
      <c r="B2" s="69"/>
      <c r="C2" s="69"/>
      <c r="D2" s="69"/>
      <c r="E2" s="69"/>
    </row>
    <row r="3" ht="21" customHeight="1" spans="1:5">
      <c r="A3" s="70"/>
      <c r="B3" s="70"/>
      <c r="C3" s="70"/>
      <c r="D3" s="70"/>
      <c r="E3" s="71" t="s">
        <v>2</v>
      </c>
    </row>
    <row r="4" ht="24" customHeight="1" spans="1:5">
      <c r="A4" s="72" t="s">
        <v>203</v>
      </c>
      <c r="B4" s="73" t="s">
        <v>204</v>
      </c>
      <c r="C4" s="73" t="s">
        <v>205</v>
      </c>
      <c r="D4" s="72" t="s">
        <v>206</v>
      </c>
      <c r="E4" s="72"/>
    </row>
    <row r="5" ht="24" customHeight="1" spans="1:5">
      <c r="A5" s="72"/>
      <c r="B5" s="73"/>
      <c r="C5" s="73"/>
      <c r="D5" s="72" t="s">
        <v>207</v>
      </c>
      <c r="E5" s="72" t="s">
        <v>208</v>
      </c>
    </row>
    <row r="6" ht="24" customHeight="1" spans="1:11">
      <c r="A6" s="74" t="s">
        <v>98</v>
      </c>
      <c r="B6" s="75">
        <f>B7+B29+B31+B30</f>
        <v>600543.9</v>
      </c>
      <c r="C6" s="74">
        <f>C7+C29+C31+C30</f>
        <v>519993</v>
      </c>
      <c r="D6" s="74">
        <f t="shared" ref="D6:D35" si="0">B6-C6</f>
        <v>80550.9</v>
      </c>
      <c r="E6" s="76">
        <f t="shared" ref="E6:E35" si="1">D6/C6</f>
        <v>0.15490766221853</v>
      </c>
      <c r="H6" s="77" t="s">
        <v>209</v>
      </c>
      <c r="I6" s="106"/>
      <c r="J6" s="106"/>
      <c r="K6" s="106"/>
    </row>
    <row r="7" ht="24" customHeight="1" spans="1:11">
      <c r="A7" s="78" t="s">
        <v>210</v>
      </c>
      <c r="B7" s="79">
        <f>B8+B26</f>
        <v>277913.9</v>
      </c>
      <c r="C7" s="80">
        <f>C8+C26</f>
        <v>286109</v>
      </c>
      <c r="D7" s="80">
        <f t="shared" si="0"/>
        <v>-8195.09999999998</v>
      </c>
      <c r="E7" s="81">
        <f t="shared" si="1"/>
        <v>-0.0286432793096337</v>
      </c>
      <c r="H7" s="82" t="s">
        <v>211</v>
      </c>
      <c r="I7" s="82" t="s">
        <v>212</v>
      </c>
      <c r="J7" s="82" t="s">
        <v>213</v>
      </c>
      <c r="K7" s="82" t="s">
        <v>214</v>
      </c>
    </row>
    <row r="8" ht="24" customHeight="1" spans="1:12">
      <c r="A8" s="78" t="s">
        <v>56</v>
      </c>
      <c r="B8" s="79">
        <f>B9+B23</f>
        <v>206263.9</v>
      </c>
      <c r="C8" s="80">
        <f>C9+C23</f>
        <v>186358</v>
      </c>
      <c r="D8" s="80">
        <f t="shared" si="0"/>
        <v>19905.9</v>
      </c>
      <c r="E8" s="81">
        <f t="shared" si="1"/>
        <v>0.1068153768553</v>
      </c>
      <c r="G8" s="83" t="s">
        <v>56</v>
      </c>
      <c r="H8" s="84">
        <f>H9+H24</f>
        <v>206263.765</v>
      </c>
      <c r="I8" s="84">
        <f t="shared" ref="I8:K8" si="2">I9+I24</f>
        <v>29679.555</v>
      </c>
      <c r="J8" s="84">
        <f t="shared" si="2"/>
        <v>12787</v>
      </c>
      <c r="K8" s="84">
        <f t="shared" si="2"/>
        <v>94020</v>
      </c>
      <c r="L8" s="107"/>
    </row>
    <row r="9" s="63" customFormat="1" ht="24" customHeight="1" spans="1:11">
      <c r="A9" s="85" t="s">
        <v>215</v>
      </c>
      <c r="B9" s="79">
        <f>SUM(B10:B22)</f>
        <v>203037.9</v>
      </c>
      <c r="C9" s="80">
        <f>SUM(C10:C22)</f>
        <v>183517</v>
      </c>
      <c r="D9" s="80">
        <f t="shared" si="0"/>
        <v>19520.9</v>
      </c>
      <c r="E9" s="81">
        <f t="shared" si="1"/>
        <v>0.106371071889798</v>
      </c>
      <c r="G9" s="86" t="s">
        <v>215</v>
      </c>
      <c r="H9" s="84">
        <f>SUM(H10:H23)</f>
        <v>203037.485</v>
      </c>
      <c r="I9" s="84">
        <f t="shared" ref="I9:K9" si="3">SUM(I10:I23)</f>
        <v>29679.555</v>
      </c>
      <c r="J9" s="84">
        <f t="shared" si="3"/>
        <v>12787</v>
      </c>
      <c r="K9" s="84">
        <f t="shared" si="3"/>
        <v>94020</v>
      </c>
    </row>
    <row r="10" ht="24" customHeight="1" spans="1:11">
      <c r="A10" s="87" t="s">
        <v>216</v>
      </c>
      <c r="B10" s="79">
        <f>125904</f>
        <v>125904</v>
      </c>
      <c r="C10" s="80">
        <f>132686+174-5676</f>
        <v>127184</v>
      </c>
      <c r="D10" s="80">
        <f t="shared" si="0"/>
        <v>-1280</v>
      </c>
      <c r="E10" s="81">
        <f t="shared" si="1"/>
        <v>-0.0100641590137124</v>
      </c>
      <c r="G10" s="88" t="s">
        <v>216</v>
      </c>
      <c r="H10" s="89">
        <f>129284-(11362-6720)+1262</f>
        <v>125904</v>
      </c>
      <c r="I10" s="89">
        <f>H10-J10-K10</f>
        <v>23897</v>
      </c>
      <c r="J10" s="89">
        <f>11285-1212</f>
        <v>10073</v>
      </c>
      <c r="K10" s="89">
        <v>91934</v>
      </c>
    </row>
    <row r="11" ht="24" customHeight="1" spans="1:11">
      <c r="A11" s="87" t="s">
        <v>217</v>
      </c>
      <c r="B11" s="79">
        <v>319</v>
      </c>
      <c r="C11" s="80">
        <v>527</v>
      </c>
      <c r="D11" s="80">
        <f t="shared" si="0"/>
        <v>-208</v>
      </c>
      <c r="E11" s="81">
        <f t="shared" si="1"/>
        <v>-0.394686907020873</v>
      </c>
      <c r="G11" s="88" t="s">
        <v>217</v>
      </c>
      <c r="H11" s="89">
        <f>309+10</f>
        <v>319</v>
      </c>
      <c r="I11" s="89">
        <f t="shared" ref="I11:I14" si="4">H11-J11-K11</f>
        <v>232</v>
      </c>
      <c r="J11" s="89">
        <v>84</v>
      </c>
      <c r="K11" s="89">
        <v>3</v>
      </c>
    </row>
    <row r="12" ht="24" customHeight="1" spans="1:11">
      <c r="A12" s="87" t="s">
        <v>218</v>
      </c>
      <c r="B12" s="80">
        <v>7602</v>
      </c>
      <c r="C12" s="80">
        <v>5676</v>
      </c>
      <c r="D12" s="80">
        <f t="shared" si="0"/>
        <v>1926</v>
      </c>
      <c r="E12" s="81">
        <f t="shared" si="1"/>
        <v>0.339323467230444</v>
      </c>
      <c r="G12" s="88" t="s">
        <v>219</v>
      </c>
      <c r="H12" s="89">
        <f>14322-6720</f>
        <v>7602</v>
      </c>
      <c r="I12" s="89">
        <f t="shared" si="4"/>
        <v>4164</v>
      </c>
      <c r="J12" s="89">
        <v>1355</v>
      </c>
      <c r="K12" s="89">
        <v>2083</v>
      </c>
    </row>
    <row r="13" ht="24" customHeight="1" spans="1:11">
      <c r="A13" s="87" t="s">
        <v>220</v>
      </c>
      <c r="B13" s="80">
        <v>4388</v>
      </c>
      <c r="C13" s="80">
        <v>4192</v>
      </c>
      <c r="D13" s="80">
        <f t="shared" si="0"/>
        <v>196</v>
      </c>
      <c r="E13" s="81">
        <f t="shared" si="1"/>
        <v>0.0467557251908397</v>
      </c>
      <c r="G13" s="90" t="s">
        <v>221</v>
      </c>
      <c r="H13" s="89">
        <v>1291.861</v>
      </c>
      <c r="I13" s="89">
        <f t="shared" si="4"/>
        <v>954.861</v>
      </c>
      <c r="J13" s="89">
        <v>337</v>
      </c>
      <c r="K13" s="89"/>
    </row>
    <row r="14" ht="24" customHeight="1" spans="1:11">
      <c r="A14" s="87" t="s">
        <v>222</v>
      </c>
      <c r="B14" s="80">
        <v>14288</v>
      </c>
      <c r="C14" s="80">
        <v>13986</v>
      </c>
      <c r="D14" s="80">
        <f t="shared" si="0"/>
        <v>302</v>
      </c>
      <c r="E14" s="81">
        <f t="shared" si="1"/>
        <v>0.0215930215930216</v>
      </c>
      <c r="G14" s="90" t="s">
        <v>223</v>
      </c>
      <c r="H14" s="89">
        <v>1369.694</v>
      </c>
      <c r="I14" s="89">
        <f t="shared" si="4"/>
        <v>431.694</v>
      </c>
      <c r="J14" s="89">
        <v>938</v>
      </c>
      <c r="K14" s="89"/>
    </row>
    <row r="15" ht="24" customHeight="1" spans="1:11">
      <c r="A15" s="91" t="s">
        <v>224</v>
      </c>
      <c r="B15" s="80">
        <v>26559</v>
      </c>
      <c r="C15" s="80">
        <f>21170-3</f>
        <v>21167</v>
      </c>
      <c r="D15" s="80">
        <f t="shared" si="0"/>
        <v>5392</v>
      </c>
      <c r="E15" s="81">
        <f t="shared" si="1"/>
        <v>0.254736145887466</v>
      </c>
      <c r="G15" s="88" t="s">
        <v>220</v>
      </c>
      <c r="H15" s="89">
        <v>4388.39</v>
      </c>
      <c r="I15" s="89"/>
      <c r="J15" s="89"/>
      <c r="K15" s="89"/>
    </row>
    <row r="16" ht="24" customHeight="1" spans="1:11">
      <c r="A16" s="91" t="s">
        <v>225</v>
      </c>
      <c r="B16" s="80">
        <v>1292</v>
      </c>
      <c r="C16" s="80">
        <v>1276</v>
      </c>
      <c r="D16" s="80">
        <f t="shared" si="0"/>
        <v>16</v>
      </c>
      <c r="E16" s="81">
        <f t="shared" si="1"/>
        <v>0.0125391849529781</v>
      </c>
      <c r="G16" s="88" t="s">
        <v>222</v>
      </c>
      <c r="H16" s="89">
        <v>14287.76</v>
      </c>
      <c r="I16" s="89"/>
      <c r="J16" s="89"/>
      <c r="K16" s="89"/>
    </row>
    <row r="17" ht="24" customHeight="1" spans="1:11">
      <c r="A17" s="92" t="s">
        <v>223</v>
      </c>
      <c r="B17" s="80">
        <v>1370</v>
      </c>
      <c r="C17" s="80">
        <v>1416</v>
      </c>
      <c r="D17" s="80">
        <f t="shared" si="0"/>
        <v>-46</v>
      </c>
      <c r="E17" s="81">
        <f t="shared" si="1"/>
        <v>-0.0324858757062147</v>
      </c>
      <c r="G17" s="88" t="s">
        <v>224</v>
      </c>
      <c r="H17" s="89">
        <v>26559.01</v>
      </c>
      <c r="I17" s="89"/>
      <c r="J17" s="89"/>
      <c r="K17" s="89"/>
    </row>
    <row r="18" s="64" customFormat="1" ht="24" customHeight="1" spans="1:11">
      <c r="A18" s="93" t="s">
        <v>226</v>
      </c>
      <c r="B18" s="94">
        <v>667</v>
      </c>
      <c r="C18" s="94">
        <v>1446</v>
      </c>
      <c r="D18" s="94">
        <f t="shared" si="0"/>
        <v>-779</v>
      </c>
      <c r="E18" s="95">
        <f t="shared" si="1"/>
        <v>-0.538727524204703</v>
      </c>
      <c r="G18" s="96" t="s">
        <v>227</v>
      </c>
      <c r="H18" s="97">
        <v>11953.9</v>
      </c>
      <c r="I18" s="97"/>
      <c r="J18" s="97"/>
      <c r="K18" s="97"/>
    </row>
    <row r="19" s="65" customFormat="1" ht="24" customHeight="1" spans="1:11">
      <c r="A19" s="98" t="s">
        <v>227</v>
      </c>
      <c r="B19" s="99">
        <v>11953.9</v>
      </c>
      <c r="C19" s="94">
        <v>3</v>
      </c>
      <c r="D19" s="99">
        <f t="shared" si="0"/>
        <v>11950.9</v>
      </c>
      <c r="E19" s="95">
        <f t="shared" si="1"/>
        <v>3983.63333333333</v>
      </c>
      <c r="G19" s="96" t="s">
        <v>228</v>
      </c>
      <c r="H19" s="97">
        <v>280</v>
      </c>
      <c r="I19" s="97"/>
      <c r="J19" s="97"/>
      <c r="K19" s="97"/>
    </row>
    <row r="20" ht="24" customHeight="1" spans="1:11">
      <c r="A20" s="100" t="s">
        <v>228</v>
      </c>
      <c r="B20" s="80">
        <v>280</v>
      </c>
      <c r="C20" s="80">
        <v>0</v>
      </c>
      <c r="D20" s="80">
        <f t="shared" si="0"/>
        <v>280</v>
      </c>
      <c r="E20" s="81"/>
      <c r="G20" s="88" t="s">
        <v>229</v>
      </c>
      <c r="H20" s="89">
        <v>26</v>
      </c>
      <c r="I20" s="89"/>
      <c r="J20" s="89"/>
      <c r="K20" s="89"/>
    </row>
    <row r="21" ht="24" customHeight="1" spans="1:11">
      <c r="A21" s="100" t="s">
        <v>229</v>
      </c>
      <c r="B21" s="80">
        <v>26</v>
      </c>
      <c r="C21" s="80">
        <v>0</v>
      </c>
      <c r="D21" s="80">
        <f t="shared" si="0"/>
        <v>26</v>
      </c>
      <c r="E21" s="81"/>
      <c r="G21" s="88" t="s">
        <v>226</v>
      </c>
      <c r="H21" s="89">
        <v>667</v>
      </c>
      <c r="I21" s="89"/>
      <c r="J21" s="89"/>
      <c r="K21" s="89"/>
    </row>
    <row r="22" s="65" customFormat="1" ht="24" customHeight="1" spans="1:11">
      <c r="A22" s="93" t="s">
        <v>230</v>
      </c>
      <c r="B22" s="94">
        <f>8389</f>
        <v>8389</v>
      </c>
      <c r="C22" s="94">
        <v>6644</v>
      </c>
      <c r="D22" s="94">
        <f t="shared" si="0"/>
        <v>1745</v>
      </c>
      <c r="E22" s="95">
        <f t="shared" si="1"/>
        <v>0.26264298615292</v>
      </c>
      <c r="G22" s="96" t="s">
        <v>231</v>
      </c>
      <c r="H22" s="97">
        <f>12473.87-2507-1262-306-10</f>
        <v>8388.87</v>
      </c>
      <c r="I22" s="97"/>
      <c r="J22" s="97"/>
      <c r="K22" s="97"/>
    </row>
    <row r="23" s="63" customFormat="1" ht="24" customHeight="1" spans="1:11">
      <c r="A23" s="87" t="s">
        <v>232</v>
      </c>
      <c r="B23" s="80">
        <f>SUM(B24:B25)</f>
        <v>3226</v>
      </c>
      <c r="C23" s="80">
        <f>SUM(C24:C25)</f>
        <v>2841</v>
      </c>
      <c r="D23" s="80">
        <f t="shared" si="0"/>
        <v>385</v>
      </c>
      <c r="E23" s="81">
        <f t="shared" si="1"/>
        <v>0.135515663498768</v>
      </c>
      <c r="G23" s="90" t="s">
        <v>230</v>
      </c>
      <c r="H23" s="89"/>
      <c r="I23" s="89"/>
      <c r="J23" s="89"/>
      <c r="K23" s="89"/>
    </row>
    <row r="24" s="63" customFormat="1" ht="24" customHeight="1" spans="1:11">
      <c r="A24" s="87" t="s">
        <v>233</v>
      </c>
      <c r="B24" s="80">
        <v>2831</v>
      </c>
      <c r="C24" s="80">
        <v>2796</v>
      </c>
      <c r="D24" s="80">
        <f t="shared" si="0"/>
        <v>35</v>
      </c>
      <c r="E24" s="81">
        <f t="shared" si="1"/>
        <v>0.0125178826895565</v>
      </c>
      <c r="G24" s="101" t="s">
        <v>232</v>
      </c>
      <c r="H24" s="89">
        <f>H25+H26</f>
        <v>3226.28</v>
      </c>
      <c r="I24" s="89"/>
      <c r="J24" s="89"/>
      <c r="K24" s="89"/>
    </row>
    <row r="25" s="63" customFormat="1" ht="24" customHeight="1" spans="1:11">
      <c r="A25" s="92" t="s">
        <v>234</v>
      </c>
      <c r="B25" s="80">
        <v>395</v>
      </c>
      <c r="C25" s="80">
        <v>45</v>
      </c>
      <c r="D25" s="80">
        <f t="shared" si="0"/>
        <v>350</v>
      </c>
      <c r="E25" s="81">
        <f t="shared" si="1"/>
        <v>7.77777777777778</v>
      </c>
      <c r="G25" s="88" t="s">
        <v>233</v>
      </c>
      <c r="H25" s="84">
        <v>2830.92</v>
      </c>
      <c r="I25" s="84"/>
      <c r="J25" s="84"/>
      <c r="K25" s="84"/>
    </row>
    <row r="26" s="63" customFormat="1" ht="24" customHeight="1" spans="1:11">
      <c r="A26" s="102" t="s">
        <v>72</v>
      </c>
      <c r="B26" s="80">
        <f>B27+B28</f>
        <v>71650</v>
      </c>
      <c r="C26" s="80">
        <f>C27+C28</f>
        <v>99751</v>
      </c>
      <c r="D26" s="80">
        <f t="shared" si="0"/>
        <v>-28101</v>
      </c>
      <c r="E26" s="81">
        <f t="shared" si="1"/>
        <v>-0.281711461539233</v>
      </c>
      <c r="G26" s="88" t="s">
        <v>234</v>
      </c>
      <c r="H26" s="84">
        <v>395.36</v>
      </c>
      <c r="I26" s="84"/>
      <c r="J26" s="84"/>
      <c r="K26" s="84"/>
    </row>
    <row r="27" s="63" customFormat="1" ht="24" customHeight="1" spans="1:5">
      <c r="A27" s="102" t="s">
        <v>235</v>
      </c>
      <c r="B27" s="80">
        <v>58482</v>
      </c>
      <c r="C27" s="80">
        <v>70698</v>
      </c>
      <c r="D27" s="80">
        <f t="shared" si="0"/>
        <v>-12216</v>
      </c>
      <c r="E27" s="81">
        <f t="shared" si="1"/>
        <v>-0.172791309513706</v>
      </c>
    </row>
    <row r="28" s="63" customFormat="1" ht="24" customHeight="1" spans="1:5">
      <c r="A28" s="103" t="s">
        <v>236</v>
      </c>
      <c r="B28" s="80">
        <f>13892-715-9</f>
        <v>13168</v>
      </c>
      <c r="C28" s="80">
        <v>29053</v>
      </c>
      <c r="D28" s="80">
        <f t="shared" si="0"/>
        <v>-15885</v>
      </c>
      <c r="E28" s="81">
        <f t="shared" si="1"/>
        <v>-0.54675937080508</v>
      </c>
    </row>
    <row r="29" ht="24" customHeight="1" spans="1:7">
      <c r="A29" s="85" t="s">
        <v>237</v>
      </c>
      <c r="B29" s="80">
        <f>一般收支平衡调整!R22</f>
        <v>23568</v>
      </c>
      <c r="C29" s="80">
        <v>19940</v>
      </c>
      <c r="D29" s="80">
        <f t="shared" si="0"/>
        <v>3628</v>
      </c>
      <c r="E29" s="81">
        <f t="shared" si="1"/>
        <v>0.181945837512538</v>
      </c>
      <c r="G29" s="63"/>
    </row>
    <row r="30" ht="24" customHeight="1" spans="1:7">
      <c r="A30" s="85" t="s">
        <v>238</v>
      </c>
      <c r="B30" s="80">
        <f>一般收支平衡调整!R20+一般收支平衡调整!R24</f>
        <v>198363</v>
      </c>
      <c r="C30" s="80">
        <v>118394</v>
      </c>
      <c r="D30" s="80">
        <f t="shared" si="0"/>
        <v>79969</v>
      </c>
      <c r="E30" s="81">
        <f t="shared" si="1"/>
        <v>0.675448080139196</v>
      </c>
      <c r="G30" s="63"/>
    </row>
    <row r="31" ht="24" customHeight="1" spans="1:5">
      <c r="A31" s="85" t="s">
        <v>239</v>
      </c>
      <c r="B31" s="104">
        <f>一般收支平衡调整!R21</f>
        <v>100699</v>
      </c>
      <c r="C31" s="104">
        <v>95550</v>
      </c>
      <c r="D31" s="80">
        <f t="shared" si="0"/>
        <v>5149</v>
      </c>
      <c r="E31" s="81">
        <f t="shared" si="1"/>
        <v>0.0538880167451596</v>
      </c>
    </row>
    <row r="32" ht="24" customHeight="1" spans="1:5">
      <c r="A32" s="105" t="s">
        <v>130</v>
      </c>
      <c r="B32" s="74">
        <f t="shared" ref="B32:C32" si="5">SUM(B33:B35)</f>
        <v>179754</v>
      </c>
      <c r="C32" s="74">
        <f t="shared" si="5"/>
        <v>155401</v>
      </c>
      <c r="D32" s="74">
        <f t="shared" si="0"/>
        <v>24353</v>
      </c>
      <c r="E32" s="76">
        <f t="shared" si="1"/>
        <v>0.156710703277328</v>
      </c>
    </row>
    <row r="33" ht="24" customHeight="1" spans="1:5">
      <c r="A33" s="85" t="s">
        <v>210</v>
      </c>
      <c r="B33" s="80">
        <f>基金收支平衡调整!R6</f>
        <v>58086</v>
      </c>
      <c r="C33" s="80">
        <v>72576</v>
      </c>
      <c r="D33" s="80">
        <f t="shared" si="0"/>
        <v>-14490</v>
      </c>
      <c r="E33" s="81">
        <f t="shared" si="1"/>
        <v>-0.199652777777778</v>
      </c>
    </row>
    <row r="34" ht="24" customHeight="1" spans="1:5">
      <c r="A34" s="85" t="s">
        <v>237</v>
      </c>
      <c r="B34" s="80">
        <f>基金收支平衡调整!R13</f>
        <v>19123</v>
      </c>
      <c r="C34" s="80">
        <v>11482</v>
      </c>
      <c r="D34" s="80">
        <f t="shared" si="0"/>
        <v>7641</v>
      </c>
      <c r="E34" s="81">
        <f t="shared" si="1"/>
        <v>0.665476397840097</v>
      </c>
    </row>
    <row r="35" ht="24" customHeight="1" spans="1:5">
      <c r="A35" s="85" t="s">
        <v>240</v>
      </c>
      <c r="B35" s="80">
        <f>基金收支平衡调整!R11+基金收支平衡调整!R12</f>
        <v>102545</v>
      </c>
      <c r="C35" s="80">
        <v>71343</v>
      </c>
      <c r="D35" s="80">
        <f t="shared" si="0"/>
        <v>31202</v>
      </c>
      <c r="E35" s="81">
        <f t="shared" si="1"/>
        <v>0.437351947633265</v>
      </c>
    </row>
  </sheetData>
  <mergeCells count="6">
    <mergeCell ref="A2:E2"/>
    <mergeCell ref="D4:E4"/>
    <mergeCell ref="H6:K6"/>
    <mergeCell ref="A4:A5"/>
    <mergeCell ref="B4:B5"/>
    <mergeCell ref="C4:C5"/>
  </mergeCells>
  <printOptions horizontalCentered="1"/>
  <pageMargins left="0.590551181102362" right="0.590551181102362" top="0.393700787401575" bottom="0.393700787401575" header="0.31496062992126" footer="0.196850393700787"/>
  <pageSetup paperSize="9" scale="89" fitToHeight="0" orientation="portrait"/>
  <headerFooter>
    <oddFooter>&amp;C第 &amp;P 页，共 &amp;N 页</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59"/>
  <sheetViews>
    <sheetView workbookViewId="0">
      <pane ySplit="5" topLeftCell="A22" activePane="bottomLeft" state="frozen"/>
      <selection/>
      <selection pane="bottomLeft" activeCell="G1" sqref="G$1:G$1048576"/>
    </sheetView>
  </sheetViews>
  <sheetFormatPr defaultColWidth="9" defaultRowHeight="14.25" customHeight="1"/>
  <cols>
    <col min="1" max="1" width="9.875" style="37" customWidth="1"/>
    <col min="2" max="2" width="22.75" style="38" customWidth="1"/>
    <col min="3" max="3" width="18.875" style="38" hidden="1" customWidth="1"/>
    <col min="4" max="4" width="27.625" style="38" customWidth="1"/>
    <col min="5" max="5" width="9.125" style="37" customWidth="1"/>
    <col min="6" max="6" width="24.75" style="38" hidden="1" customWidth="1"/>
    <col min="7" max="7" width="11.375" style="37" customWidth="1"/>
    <col min="8" max="8" width="12.875" style="38" customWidth="1"/>
    <col min="9" max="9" width="11" style="38" customWidth="1"/>
    <col min="10" max="10" width="12" style="38" customWidth="1"/>
    <col min="11" max="11" width="9.75" style="38" customWidth="1"/>
    <col min="12" max="12" width="11.875" style="38" customWidth="1"/>
    <col min="13" max="14" width="11.5" style="38" hidden="1" customWidth="1"/>
    <col min="15" max="15" width="13" style="38" hidden="1" customWidth="1"/>
    <col min="16" max="18" width="14.5" style="38" hidden="1" customWidth="1"/>
    <col min="19" max="19" width="11.75" style="38" hidden="1" customWidth="1"/>
    <col min="20" max="20" width="48.375" style="38" customWidth="1"/>
    <col min="21" max="21" width="18" style="38" customWidth="1"/>
    <col min="22" max="256" width="9" style="38"/>
    <col min="257" max="257" width="6.875" style="38" customWidth="1"/>
    <col min="258" max="258" width="22.875" style="38" customWidth="1"/>
    <col min="259" max="259" width="9" style="38" hidden="1" customWidth="1"/>
    <col min="260" max="260" width="25" style="38" customWidth="1"/>
    <col min="261" max="261" width="8.625" style="38" customWidth="1"/>
    <col min="262" max="262" width="20.875" style="38" customWidth="1"/>
    <col min="263" max="263" width="12.75" style="38" customWidth="1"/>
    <col min="264" max="264" width="12" style="38" customWidth="1"/>
    <col min="265" max="265" width="10.125" style="38" customWidth="1"/>
    <col min="266" max="266" width="10.75" style="38" customWidth="1"/>
    <col min="267" max="267" width="9" style="38" hidden="1" customWidth="1"/>
    <col min="268" max="268" width="11.75" style="38" customWidth="1"/>
    <col min="269" max="275" width="9" style="38" hidden="1" customWidth="1"/>
    <col min="276" max="512" width="9" style="38"/>
    <col min="513" max="513" width="6.875" style="38" customWidth="1"/>
    <col min="514" max="514" width="22.875" style="38" customWidth="1"/>
    <col min="515" max="515" width="9" style="38" hidden="1" customWidth="1"/>
    <col min="516" max="516" width="25" style="38" customWidth="1"/>
    <col min="517" max="517" width="8.625" style="38" customWidth="1"/>
    <col min="518" max="518" width="20.875" style="38" customWidth="1"/>
    <col min="519" max="519" width="12.75" style="38" customWidth="1"/>
    <col min="520" max="520" width="12" style="38" customWidth="1"/>
    <col min="521" max="521" width="10.125" style="38" customWidth="1"/>
    <col min="522" max="522" width="10.75" style="38" customWidth="1"/>
    <col min="523" max="523" width="9" style="38" hidden="1" customWidth="1"/>
    <col min="524" max="524" width="11.75" style="38" customWidth="1"/>
    <col min="525" max="531" width="9" style="38" hidden="1" customWidth="1"/>
    <col min="532" max="768" width="9" style="38"/>
    <col min="769" max="769" width="6.875" style="38" customWidth="1"/>
    <col min="770" max="770" width="22.875" style="38" customWidth="1"/>
    <col min="771" max="771" width="9" style="38" hidden="1" customWidth="1"/>
    <col min="772" max="772" width="25" style="38" customWidth="1"/>
    <col min="773" max="773" width="8.625" style="38" customWidth="1"/>
    <col min="774" max="774" width="20.875" style="38" customWidth="1"/>
    <col min="775" max="775" width="12.75" style="38" customWidth="1"/>
    <col min="776" max="776" width="12" style="38" customWidth="1"/>
    <col min="777" max="777" width="10.125" style="38" customWidth="1"/>
    <col min="778" max="778" width="10.75" style="38" customWidth="1"/>
    <col min="779" max="779" width="9" style="38" hidden="1" customWidth="1"/>
    <col min="780" max="780" width="11.75" style="38" customWidth="1"/>
    <col min="781" max="787" width="9" style="38" hidden="1" customWidth="1"/>
    <col min="788" max="1024" width="9" style="38"/>
    <col min="1025" max="1025" width="6.875" style="38" customWidth="1"/>
    <col min="1026" max="1026" width="22.875" style="38" customWidth="1"/>
    <col min="1027" max="1027" width="9" style="38" hidden="1" customWidth="1"/>
    <col min="1028" max="1028" width="25" style="38" customWidth="1"/>
    <col min="1029" max="1029" width="8.625" style="38" customWidth="1"/>
    <col min="1030" max="1030" width="20.875" style="38" customWidth="1"/>
    <col min="1031" max="1031" width="12.75" style="38" customWidth="1"/>
    <col min="1032" max="1032" width="12" style="38" customWidth="1"/>
    <col min="1033" max="1033" width="10.125" style="38" customWidth="1"/>
    <col min="1034" max="1034" width="10.75" style="38" customWidth="1"/>
    <col min="1035" max="1035" width="9" style="38" hidden="1" customWidth="1"/>
    <col min="1036" max="1036" width="11.75" style="38" customWidth="1"/>
    <col min="1037" max="1043" width="9" style="38" hidden="1" customWidth="1"/>
    <col min="1044" max="1280" width="9" style="38"/>
    <col min="1281" max="1281" width="6.875" style="38" customWidth="1"/>
    <col min="1282" max="1282" width="22.875" style="38" customWidth="1"/>
    <col min="1283" max="1283" width="9" style="38" hidden="1" customWidth="1"/>
    <col min="1284" max="1284" width="25" style="38" customWidth="1"/>
    <col min="1285" max="1285" width="8.625" style="38" customWidth="1"/>
    <col min="1286" max="1286" width="20.875" style="38" customWidth="1"/>
    <col min="1287" max="1287" width="12.75" style="38" customWidth="1"/>
    <col min="1288" max="1288" width="12" style="38" customWidth="1"/>
    <col min="1289" max="1289" width="10.125" style="38" customWidth="1"/>
    <col min="1290" max="1290" width="10.75" style="38" customWidth="1"/>
    <col min="1291" max="1291" width="9" style="38" hidden="1" customWidth="1"/>
    <col min="1292" max="1292" width="11.75" style="38" customWidth="1"/>
    <col min="1293" max="1299" width="9" style="38" hidden="1" customWidth="1"/>
    <col min="1300" max="1536" width="9" style="38"/>
    <col min="1537" max="1537" width="6.875" style="38" customWidth="1"/>
    <col min="1538" max="1538" width="22.875" style="38" customWidth="1"/>
    <col min="1539" max="1539" width="9" style="38" hidden="1" customWidth="1"/>
    <col min="1540" max="1540" width="25" style="38" customWidth="1"/>
    <col min="1541" max="1541" width="8.625" style="38" customWidth="1"/>
    <col min="1542" max="1542" width="20.875" style="38" customWidth="1"/>
    <col min="1543" max="1543" width="12.75" style="38" customWidth="1"/>
    <col min="1544" max="1544" width="12" style="38" customWidth="1"/>
    <col min="1545" max="1545" width="10.125" style="38" customWidth="1"/>
    <col min="1546" max="1546" width="10.75" style="38" customWidth="1"/>
    <col min="1547" max="1547" width="9" style="38" hidden="1" customWidth="1"/>
    <col min="1548" max="1548" width="11.75" style="38" customWidth="1"/>
    <col min="1549" max="1555" width="9" style="38" hidden="1" customWidth="1"/>
    <col min="1556" max="1792" width="9" style="38"/>
    <col min="1793" max="1793" width="6.875" style="38" customWidth="1"/>
    <col min="1794" max="1794" width="22.875" style="38" customWidth="1"/>
    <col min="1795" max="1795" width="9" style="38" hidden="1" customWidth="1"/>
    <col min="1796" max="1796" width="25" style="38" customWidth="1"/>
    <col min="1797" max="1797" width="8.625" style="38" customWidth="1"/>
    <col min="1798" max="1798" width="20.875" style="38" customWidth="1"/>
    <col min="1799" max="1799" width="12.75" style="38" customWidth="1"/>
    <col min="1800" max="1800" width="12" style="38" customWidth="1"/>
    <col min="1801" max="1801" width="10.125" style="38" customWidth="1"/>
    <col min="1802" max="1802" width="10.75" style="38" customWidth="1"/>
    <col min="1803" max="1803" width="9" style="38" hidden="1" customWidth="1"/>
    <col min="1804" max="1804" width="11.75" style="38" customWidth="1"/>
    <col min="1805" max="1811" width="9" style="38" hidden="1" customWidth="1"/>
    <col min="1812" max="2048" width="9" style="38"/>
    <col min="2049" max="2049" width="6.875" style="38" customWidth="1"/>
    <col min="2050" max="2050" width="22.875" style="38" customWidth="1"/>
    <col min="2051" max="2051" width="9" style="38" hidden="1" customWidth="1"/>
    <col min="2052" max="2052" width="25" style="38" customWidth="1"/>
    <col min="2053" max="2053" width="8.625" style="38" customWidth="1"/>
    <col min="2054" max="2054" width="20.875" style="38" customWidth="1"/>
    <col min="2055" max="2055" width="12.75" style="38" customWidth="1"/>
    <col min="2056" max="2056" width="12" style="38" customWidth="1"/>
    <col min="2057" max="2057" width="10.125" style="38" customWidth="1"/>
    <col min="2058" max="2058" width="10.75" style="38" customWidth="1"/>
    <col min="2059" max="2059" width="9" style="38" hidden="1" customWidth="1"/>
    <col min="2060" max="2060" width="11.75" style="38" customWidth="1"/>
    <col min="2061" max="2067" width="9" style="38" hidden="1" customWidth="1"/>
    <col min="2068" max="2304" width="9" style="38"/>
    <col min="2305" max="2305" width="6.875" style="38" customWidth="1"/>
    <col min="2306" max="2306" width="22.875" style="38" customWidth="1"/>
    <col min="2307" max="2307" width="9" style="38" hidden="1" customWidth="1"/>
    <col min="2308" max="2308" width="25" style="38" customWidth="1"/>
    <col min="2309" max="2309" width="8.625" style="38" customWidth="1"/>
    <col min="2310" max="2310" width="20.875" style="38" customWidth="1"/>
    <col min="2311" max="2311" width="12.75" style="38" customWidth="1"/>
    <col min="2312" max="2312" width="12" style="38" customWidth="1"/>
    <col min="2313" max="2313" width="10.125" style="38" customWidth="1"/>
    <col min="2314" max="2314" width="10.75" style="38" customWidth="1"/>
    <col min="2315" max="2315" width="9" style="38" hidden="1" customWidth="1"/>
    <col min="2316" max="2316" width="11.75" style="38" customWidth="1"/>
    <col min="2317" max="2323" width="9" style="38" hidden="1" customWidth="1"/>
    <col min="2324" max="2560" width="9" style="38"/>
    <col min="2561" max="2561" width="6.875" style="38" customWidth="1"/>
    <col min="2562" max="2562" width="22.875" style="38" customWidth="1"/>
    <col min="2563" max="2563" width="9" style="38" hidden="1" customWidth="1"/>
    <col min="2564" max="2564" width="25" style="38" customWidth="1"/>
    <col min="2565" max="2565" width="8.625" style="38" customWidth="1"/>
    <col min="2566" max="2566" width="20.875" style="38" customWidth="1"/>
    <col min="2567" max="2567" width="12.75" style="38" customWidth="1"/>
    <col min="2568" max="2568" width="12" style="38" customWidth="1"/>
    <col min="2569" max="2569" width="10.125" style="38" customWidth="1"/>
    <col min="2570" max="2570" width="10.75" style="38" customWidth="1"/>
    <col min="2571" max="2571" width="9" style="38" hidden="1" customWidth="1"/>
    <col min="2572" max="2572" width="11.75" style="38" customWidth="1"/>
    <col min="2573" max="2579" width="9" style="38" hidden="1" customWidth="1"/>
    <col min="2580" max="2816" width="9" style="38"/>
    <col min="2817" max="2817" width="6.875" style="38" customWidth="1"/>
    <col min="2818" max="2818" width="22.875" style="38" customWidth="1"/>
    <col min="2819" max="2819" width="9" style="38" hidden="1" customWidth="1"/>
    <col min="2820" max="2820" width="25" style="38" customWidth="1"/>
    <col min="2821" max="2821" width="8.625" style="38" customWidth="1"/>
    <col min="2822" max="2822" width="20.875" style="38" customWidth="1"/>
    <col min="2823" max="2823" width="12.75" style="38" customWidth="1"/>
    <col min="2824" max="2824" width="12" style="38" customWidth="1"/>
    <col min="2825" max="2825" width="10.125" style="38" customWidth="1"/>
    <col min="2826" max="2826" width="10.75" style="38" customWidth="1"/>
    <col min="2827" max="2827" width="9" style="38" hidden="1" customWidth="1"/>
    <col min="2828" max="2828" width="11.75" style="38" customWidth="1"/>
    <col min="2829" max="2835" width="9" style="38" hidden="1" customWidth="1"/>
    <col min="2836" max="3072" width="9" style="38"/>
    <col min="3073" max="3073" width="6.875" style="38" customWidth="1"/>
    <col min="3074" max="3074" width="22.875" style="38" customWidth="1"/>
    <col min="3075" max="3075" width="9" style="38" hidden="1" customWidth="1"/>
    <col min="3076" max="3076" width="25" style="38" customWidth="1"/>
    <col min="3077" max="3077" width="8.625" style="38" customWidth="1"/>
    <col min="3078" max="3078" width="20.875" style="38" customWidth="1"/>
    <col min="3079" max="3079" width="12.75" style="38" customWidth="1"/>
    <col min="3080" max="3080" width="12" style="38" customWidth="1"/>
    <col min="3081" max="3081" width="10.125" style="38" customWidth="1"/>
    <col min="3082" max="3082" width="10.75" style="38" customWidth="1"/>
    <col min="3083" max="3083" width="9" style="38" hidden="1" customWidth="1"/>
    <col min="3084" max="3084" width="11.75" style="38" customWidth="1"/>
    <col min="3085" max="3091" width="9" style="38" hidden="1" customWidth="1"/>
    <col min="3092" max="3328" width="9" style="38"/>
    <col min="3329" max="3329" width="6.875" style="38" customWidth="1"/>
    <col min="3330" max="3330" width="22.875" style="38" customWidth="1"/>
    <col min="3331" max="3331" width="9" style="38" hidden="1" customWidth="1"/>
    <col min="3332" max="3332" width="25" style="38" customWidth="1"/>
    <col min="3333" max="3333" width="8.625" style="38" customWidth="1"/>
    <col min="3334" max="3334" width="20.875" style="38" customWidth="1"/>
    <col min="3335" max="3335" width="12.75" style="38" customWidth="1"/>
    <col min="3336" max="3336" width="12" style="38" customWidth="1"/>
    <col min="3337" max="3337" width="10.125" style="38" customWidth="1"/>
    <col min="3338" max="3338" width="10.75" style="38" customWidth="1"/>
    <col min="3339" max="3339" width="9" style="38" hidden="1" customWidth="1"/>
    <col min="3340" max="3340" width="11.75" style="38" customWidth="1"/>
    <col min="3341" max="3347" width="9" style="38" hidden="1" customWidth="1"/>
    <col min="3348" max="3584" width="9" style="38"/>
    <col min="3585" max="3585" width="6.875" style="38" customWidth="1"/>
    <col min="3586" max="3586" width="22.875" style="38" customWidth="1"/>
    <col min="3587" max="3587" width="9" style="38" hidden="1" customWidth="1"/>
    <col min="3588" max="3588" width="25" style="38" customWidth="1"/>
    <col min="3589" max="3589" width="8.625" style="38" customWidth="1"/>
    <col min="3590" max="3590" width="20.875" style="38" customWidth="1"/>
    <col min="3591" max="3591" width="12.75" style="38" customWidth="1"/>
    <col min="3592" max="3592" width="12" style="38" customWidth="1"/>
    <col min="3593" max="3593" width="10.125" style="38" customWidth="1"/>
    <col min="3594" max="3594" width="10.75" style="38" customWidth="1"/>
    <col min="3595" max="3595" width="9" style="38" hidden="1" customWidth="1"/>
    <col min="3596" max="3596" width="11.75" style="38" customWidth="1"/>
    <col min="3597" max="3603" width="9" style="38" hidden="1" customWidth="1"/>
    <col min="3604" max="3840" width="9" style="38"/>
    <col min="3841" max="3841" width="6.875" style="38" customWidth="1"/>
    <col min="3842" max="3842" width="22.875" style="38" customWidth="1"/>
    <col min="3843" max="3843" width="9" style="38" hidden="1" customWidth="1"/>
    <col min="3844" max="3844" width="25" style="38" customWidth="1"/>
    <col min="3845" max="3845" width="8.625" style="38" customWidth="1"/>
    <col min="3846" max="3846" width="20.875" style="38" customWidth="1"/>
    <col min="3847" max="3847" width="12.75" style="38" customWidth="1"/>
    <col min="3848" max="3848" width="12" style="38" customWidth="1"/>
    <col min="3849" max="3849" width="10.125" style="38" customWidth="1"/>
    <col min="3850" max="3850" width="10.75" style="38" customWidth="1"/>
    <col min="3851" max="3851" width="9" style="38" hidden="1" customWidth="1"/>
    <col min="3852" max="3852" width="11.75" style="38" customWidth="1"/>
    <col min="3853" max="3859" width="9" style="38" hidden="1" customWidth="1"/>
    <col min="3860" max="4096" width="9" style="38"/>
    <col min="4097" max="4097" width="6.875" style="38" customWidth="1"/>
    <col min="4098" max="4098" width="22.875" style="38" customWidth="1"/>
    <col min="4099" max="4099" width="9" style="38" hidden="1" customWidth="1"/>
    <col min="4100" max="4100" width="25" style="38" customWidth="1"/>
    <col min="4101" max="4101" width="8.625" style="38" customWidth="1"/>
    <col min="4102" max="4102" width="20.875" style="38" customWidth="1"/>
    <col min="4103" max="4103" width="12.75" style="38" customWidth="1"/>
    <col min="4104" max="4104" width="12" style="38" customWidth="1"/>
    <col min="4105" max="4105" width="10.125" style="38" customWidth="1"/>
    <col min="4106" max="4106" width="10.75" style="38" customWidth="1"/>
    <col min="4107" max="4107" width="9" style="38" hidden="1" customWidth="1"/>
    <col min="4108" max="4108" width="11.75" style="38" customWidth="1"/>
    <col min="4109" max="4115" width="9" style="38" hidden="1" customWidth="1"/>
    <col min="4116" max="4352" width="9" style="38"/>
    <col min="4353" max="4353" width="6.875" style="38" customWidth="1"/>
    <col min="4354" max="4354" width="22.875" style="38" customWidth="1"/>
    <col min="4355" max="4355" width="9" style="38" hidden="1" customWidth="1"/>
    <col min="4356" max="4356" width="25" style="38" customWidth="1"/>
    <col min="4357" max="4357" width="8.625" style="38" customWidth="1"/>
    <col min="4358" max="4358" width="20.875" style="38" customWidth="1"/>
    <col min="4359" max="4359" width="12.75" style="38" customWidth="1"/>
    <col min="4360" max="4360" width="12" style="38" customWidth="1"/>
    <col min="4361" max="4361" width="10.125" style="38" customWidth="1"/>
    <col min="4362" max="4362" width="10.75" style="38" customWidth="1"/>
    <col min="4363" max="4363" width="9" style="38" hidden="1" customWidth="1"/>
    <col min="4364" max="4364" width="11.75" style="38" customWidth="1"/>
    <col min="4365" max="4371" width="9" style="38" hidden="1" customWidth="1"/>
    <col min="4372" max="4608" width="9" style="38"/>
    <col min="4609" max="4609" width="6.875" style="38" customWidth="1"/>
    <col min="4610" max="4610" width="22.875" style="38" customWidth="1"/>
    <col min="4611" max="4611" width="9" style="38" hidden="1" customWidth="1"/>
    <col min="4612" max="4612" width="25" style="38" customWidth="1"/>
    <col min="4613" max="4613" width="8.625" style="38" customWidth="1"/>
    <col min="4614" max="4614" width="20.875" style="38" customWidth="1"/>
    <col min="4615" max="4615" width="12.75" style="38" customWidth="1"/>
    <col min="4616" max="4616" width="12" style="38" customWidth="1"/>
    <col min="4617" max="4617" width="10.125" style="38" customWidth="1"/>
    <col min="4618" max="4618" width="10.75" style="38" customWidth="1"/>
    <col min="4619" max="4619" width="9" style="38" hidden="1" customWidth="1"/>
    <col min="4620" max="4620" width="11.75" style="38" customWidth="1"/>
    <col min="4621" max="4627" width="9" style="38" hidden="1" customWidth="1"/>
    <col min="4628" max="4864" width="9" style="38"/>
    <col min="4865" max="4865" width="6.875" style="38" customWidth="1"/>
    <col min="4866" max="4866" width="22.875" style="38" customWidth="1"/>
    <col min="4867" max="4867" width="9" style="38" hidden="1" customWidth="1"/>
    <col min="4868" max="4868" width="25" style="38" customWidth="1"/>
    <col min="4869" max="4869" width="8.625" style="38" customWidth="1"/>
    <col min="4870" max="4870" width="20.875" style="38" customWidth="1"/>
    <col min="4871" max="4871" width="12.75" style="38" customWidth="1"/>
    <col min="4872" max="4872" width="12" style="38" customWidth="1"/>
    <col min="4873" max="4873" width="10.125" style="38" customWidth="1"/>
    <col min="4874" max="4874" width="10.75" style="38" customWidth="1"/>
    <col min="4875" max="4875" width="9" style="38" hidden="1" customWidth="1"/>
    <col min="4876" max="4876" width="11.75" style="38" customWidth="1"/>
    <col min="4877" max="4883" width="9" style="38" hidden="1" customWidth="1"/>
    <col min="4884" max="5120" width="9" style="38"/>
    <col min="5121" max="5121" width="6.875" style="38" customWidth="1"/>
    <col min="5122" max="5122" width="22.875" style="38" customWidth="1"/>
    <col min="5123" max="5123" width="9" style="38" hidden="1" customWidth="1"/>
    <col min="5124" max="5124" width="25" style="38" customWidth="1"/>
    <col min="5125" max="5125" width="8.625" style="38" customWidth="1"/>
    <col min="5126" max="5126" width="20.875" style="38" customWidth="1"/>
    <col min="5127" max="5127" width="12.75" style="38" customWidth="1"/>
    <col min="5128" max="5128" width="12" style="38" customWidth="1"/>
    <col min="5129" max="5129" width="10.125" style="38" customWidth="1"/>
    <col min="5130" max="5130" width="10.75" style="38" customWidth="1"/>
    <col min="5131" max="5131" width="9" style="38" hidden="1" customWidth="1"/>
    <col min="5132" max="5132" width="11.75" style="38" customWidth="1"/>
    <col min="5133" max="5139" width="9" style="38" hidden="1" customWidth="1"/>
    <col min="5140" max="5376" width="9" style="38"/>
    <col min="5377" max="5377" width="6.875" style="38" customWidth="1"/>
    <col min="5378" max="5378" width="22.875" style="38" customWidth="1"/>
    <col min="5379" max="5379" width="9" style="38" hidden="1" customWidth="1"/>
    <col min="5380" max="5380" width="25" style="38" customWidth="1"/>
    <col min="5381" max="5381" width="8.625" style="38" customWidth="1"/>
    <col min="5382" max="5382" width="20.875" style="38" customWidth="1"/>
    <col min="5383" max="5383" width="12.75" style="38" customWidth="1"/>
    <col min="5384" max="5384" width="12" style="38" customWidth="1"/>
    <col min="5385" max="5385" width="10.125" style="38" customWidth="1"/>
    <col min="5386" max="5386" width="10.75" style="38" customWidth="1"/>
    <col min="5387" max="5387" width="9" style="38" hidden="1" customWidth="1"/>
    <col min="5388" max="5388" width="11.75" style="38" customWidth="1"/>
    <col min="5389" max="5395" width="9" style="38" hidden="1" customWidth="1"/>
    <col min="5396" max="5632" width="9" style="38"/>
    <col min="5633" max="5633" width="6.875" style="38" customWidth="1"/>
    <col min="5634" max="5634" width="22.875" style="38" customWidth="1"/>
    <col min="5635" max="5635" width="9" style="38" hidden="1" customWidth="1"/>
    <col min="5636" max="5636" width="25" style="38" customWidth="1"/>
    <col min="5637" max="5637" width="8.625" style="38" customWidth="1"/>
    <col min="5638" max="5638" width="20.875" style="38" customWidth="1"/>
    <col min="5639" max="5639" width="12.75" style="38" customWidth="1"/>
    <col min="5640" max="5640" width="12" style="38" customWidth="1"/>
    <col min="5641" max="5641" width="10.125" style="38" customWidth="1"/>
    <col min="5642" max="5642" width="10.75" style="38" customWidth="1"/>
    <col min="5643" max="5643" width="9" style="38" hidden="1" customWidth="1"/>
    <col min="5644" max="5644" width="11.75" style="38" customWidth="1"/>
    <col min="5645" max="5651" width="9" style="38" hidden="1" customWidth="1"/>
    <col min="5652" max="5888" width="9" style="38"/>
    <col min="5889" max="5889" width="6.875" style="38" customWidth="1"/>
    <col min="5890" max="5890" width="22.875" style="38" customWidth="1"/>
    <col min="5891" max="5891" width="9" style="38" hidden="1" customWidth="1"/>
    <col min="5892" max="5892" width="25" style="38" customWidth="1"/>
    <col min="5893" max="5893" width="8.625" style="38" customWidth="1"/>
    <col min="5894" max="5894" width="20.875" style="38" customWidth="1"/>
    <col min="5895" max="5895" width="12.75" style="38" customWidth="1"/>
    <col min="5896" max="5896" width="12" style="38" customWidth="1"/>
    <col min="5897" max="5897" width="10.125" style="38" customWidth="1"/>
    <col min="5898" max="5898" width="10.75" style="38" customWidth="1"/>
    <col min="5899" max="5899" width="9" style="38" hidden="1" customWidth="1"/>
    <col min="5900" max="5900" width="11.75" style="38" customWidth="1"/>
    <col min="5901" max="5907" width="9" style="38" hidden="1" customWidth="1"/>
    <col min="5908" max="6144" width="9" style="38"/>
    <col min="6145" max="6145" width="6.875" style="38" customWidth="1"/>
    <col min="6146" max="6146" width="22.875" style="38" customWidth="1"/>
    <col min="6147" max="6147" width="9" style="38" hidden="1" customWidth="1"/>
    <col min="6148" max="6148" width="25" style="38" customWidth="1"/>
    <col min="6149" max="6149" width="8.625" style="38" customWidth="1"/>
    <col min="6150" max="6150" width="20.875" style="38" customWidth="1"/>
    <col min="6151" max="6151" width="12.75" style="38" customWidth="1"/>
    <col min="6152" max="6152" width="12" style="38" customWidth="1"/>
    <col min="6153" max="6153" width="10.125" style="38" customWidth="1"/>
    <col min="6154" max="6154" width="10.75" style="38" customWidth="1"/>
    <col min="6155" max="6155" width="9" style="38" hidden="1" customWidth="1"/>
    <col min="6156" max="6156" width="11.75" style="38" customWidth="1"/>
    <col min="6157" max="6163" width="9" style="38" hidden="1" customWidth="1"/>
    <col min="6164" max="6400" width="9" style="38"/>
    <col min="6401" max="6401" width="6.875" style="38" customWidth="1"/>
    <col min="6402" max="6402" width="22.875" style="38" customWidth="1"/>
    <col min="6403" max="6403" width="9" style="38" hidden="1" customWidth="1"/>
    <col min="6404" max="6404" width="25" style="38" customWidth="1"/>
    <col min="6405" max="6405" width="8.625" style="38" customWidth="1"/>
    <col min="6406" max="6406" width="20.875" style="38" customWidth="1"/>
    <col min="6407" max="6407" width="12.75" style="38" customWidth="1"/>
    <col min="6408" max="6408" width="12" style="38" customWidth="1"/>
    <col min="6409" max="6409" width="10.125" style="38" customWidth="1"/>
    <col min="6410" max="6410" width="10.75" style="38" customWidth="1"/>
    <col min="6411" max="6411" width="9" style="38" hidden="1" customWidth="1"/>
    <col min="6412" max="6412" width="11.75" style="38" customWidth="1"/>
    <col min="6413" max="6419" width="9" style="38" hidden="1" customWidth="1"/>
    <col min="6420" max="6656" width="9" style="38"/>
    <col min="6657" max="6657" width="6.875" style="38" customWidth="1"/>
    <col min="6658" max="6658" width="22.875" style="38" customWidth="1"/>
    <col min="6659" max="6659" width="9" style="38" hidden="1" customWidth="1"/>
    <col min="6660" max="6660" width="25" style="38" customWidth="1"/>
    <col min="6661" max="6661" width="8.625" style="38" customWidth="1"/>
    <col min="6662" max="6662" width="20.875" style="38" customWidth="1"/>
    <col min="6663" max="6663" width="12.75" style="38" customWidth="1"/>
    <col min="6664" max="6664" width="12" style="38" customWidth="1"/>
    <col min="6665" max="6665" width="10.125" style="38" customWidth="1"/>
    <col min="6666" max="6666" width="10.75" style="38" customWidth="1"/>
    <col min="6667" max="6667" width="9" style="38" hidden="1" customWidth="1"/>
    <col min="6668" max="6668" width="11.75" style="38" customWidth="1"/>
    <col min="6669" max="6675" width="9" style="38" hidden="1" customWidth="1"/>
    <col min="6676" max="6912" width="9" style="38"/>
    <col min="6913" max="6913" width="6.875" style="38" customWidth="1"/>
    <col min="6914" max="6914" width="22.875" style="38" customWidth="1"/>
    <col min="6915" max="6915" width="9" style="38" hidden="1" customWidth="1"/>
    <col min="6916" max="6916" width="25" style="38" customWidth="1"/>
    <col min="6917" max="6917" width="8.625" style="38" customWidth="1"/>
    <col min="6918" max="6918" width="20.875" style="38" customWidth="1"/>
    <col min="6919" max="6919" width="12.75" style="38" customWidth="1"/>
    <col min="6920" max="6920" width="12" style="38" customWidth="1"/>
    <col min="6921" max="6921" width="10.125" style="38" customWidth="1"/>
    <col min="6922" max="6922" width="10.75" style="38" customWidth="1"/>
    <col min="6923" max="6923" width="9" style="38" hidden="1" customWidth="1"/>
    <col min="6924" max="6924" width="11.75" style="38" customWidth="1"/>
    <col min="6925" max="6931" width="9" style="38" hidden="1" customWidth="1"/>
    <col min="6932" max="7168" width="9" style="38"/>
    <col min="7169" max="7169" width="6.875" style="38" customWidth="1"/>
    <col min="7170" max="7170" width="22.875" style="38" customWidth="1"/>
    <col min="7171" max="7171" width="9" style="38" hidden="1" customWidth="1"/>
    <col min="7172" max="7172" width="25" style="38" customWidth="1"/>
    <col min="7173" max="7173" width="8.625" style="38" customWidth="1"/>
    <col min="7174" max="7174" width="20.875" style="38" customWidth="1"/>
    <col min="7175" max="7175" width="12.75" style="38" customWidth="1"/>
    <col min="7176" max="7176" width="12" style="38" customWidth="1"/>
    <col min="7177" max="7177" width="10.125" style="38" customWidth="1"/>
    <col min="7178" max="7178" width="10.75" style="38" customWidth="1"/>
    <col min="7179" max="7179" width="9" style="38" hidden="1" customWidth="1"/>
    <col min="7180" max="7180" width="11.75" style="38" customWidth="1"/>
    <col min="7181" max="7187" width="9" style="38" hidden="1" customWidth="1"/>
    <col min="7188" max="7424" width="9" style="38"/>
    <col min="7425" max="7425" width="6.875" style="38" customWidth="1"/>
    <col min="7426" max="7426" width="22.875" style="38" customWidth="1"/>
    <col min="7427" max="7427" width="9" style="38" hidden="1" customWidth="1"/>
    <col min="7428" max="7428" width="25" style="38" customWidth="1"/>
    <col min="7429" max="7429" width="8.625" style="38" customWidth="1"/>
    <col min="7430" max="7430" width="20.875" style="38" customWidth="1"/>
    <col min="7431" max="7431" width="12.75" style="38" customWidth="1"/>
    <col min="7432" max="7432" width="12" style="38" customWidth="1"/>
    <col min="7433" max="7433" width="10.125" style="38" customWidth="1"/>
    <col min="7434" max="7434" width="10.75" style="38" customWidth="1"/>
    <col min="7435" max="7435" width="9" style="38" hidden="1" customWidth="1"/>
    <col min="7436" max="7436" width="11.75" style="38" customWidth="1"/>
    <col min="7437" max="7443" width="9" style="38" hidden="1" customWidth="1"/>
    <col min="7444" max="7680" width="9" style="38"/>
    <col min="7681" max="7681" width="6.875" style="38" customWidth="1"/>
    <col min="7682" max="7682" width="22.875" style="38" customWidth="1"/>
    <col min="7683" max="7683" width="9" style="38" hidden="1" customWidth="1"/>
    <col min="7684" max="7684" width="25" style="38" customWidth="1"/>
    <col min="7685" max="7685" width="8.625" style="38" customWidth="1"/>
    <col min="7686" max="7686" width="20.875" style="38" customWidth="1"/>
    <col min="7687" max="7687" width="12.75" style="38" customWidth="1"/>
    <col min="7688" max="7688" width="12" style="38" customWidth="1"/>
    <col min="7689" max="7689" width="10.125" style="38" customWidth="1"/>
    <col min="7690" max="7690" width="10.75" style="38" customWidth="1"/>
    <col min="7691" max="7691" width="9" style="38" hidden="1" customWidth="1"/>
    <col min="7692" max="7692" width="11.75" style="38" customWidth="1"/>
    <col min="7693" max="7699" width="9" style="38" hidden="1" customWidth="1"/>
    <col min="7700" max="7936" width="9" style="38"/>
    <col min="7937" max="7937" width="6.875" style="38" customWidth="1"/>
    <col min="7938" max="7938" width="22.875" style="38" customWidth="1"/>
    <col min="7939" max="7939" width="9" style="38" hidden="1" customWidth="1"/>
    <col min="7940" max="7940" width="25" style="38" customWidth="1"/>
    <col min="7941" max="7941" width="8.625" style="38" customWidth="1"/>
    <col min="7942" max="7942" width="20.875" style="38" customWidth="1"/>
    <col min="7943" max="7943" width="12.75" style="38" customWidth="1"/>
    <col min="7944" max="7944" width="12" style="38" customWidth="1"/>
    <col min="7945" max="7945" width="10.125" style="38" customWidth="1"/>
    <col min="7946" max="7946" width="10.75" style="38" customWidth="1"/>
    <col min="7947" max="7947" width="9" style="38" hidden="1" customWidth="1"/>
    <col min="7948" max="7948" width="11.75" style="38" customWidth="1"/>
    <col min="7949" max="7955" width="9" style="38" hidden="1" customWidth="1"/>
    <col min="7956" max="8192" width="9" style="38"/>
    <col min="8193" max="8193" width="6.875" style="38" customWidth="1"/>
    <col min="8194" max="8194" width="22.875" style="38" customWidth="1"/>
    <col min="8195" max="8195" width="9" style="38" hidden="1" customWidth="1"/>
    <col min="8196" max="8196" width="25" style="38" customWidth="1"/>
    <col min="8197" max="8197" width="8.625" style="38" customWidth="1"/>
    <col min="8198" max="8198" width="20.875" style="38" customWidth="1"/>
    <col min="8199" max="8199" width="12.75" style="38" customWidth="1"/>
    <col min="8200" max="8200" width="12" style="38" customWidth="1"/>
    <col min="8201" max="8201" width="10.125" style="38" customWidth="1"/>
    <col min="8202" max="8202" width="10.75" style="38" customWidth="1"/>
    <col min="8203" max="8203" width="9" style="38" hidden="1" customWidth="1"/>
    <col min="8204" max="8204" width="11.75" style="38" customWidth="1"/>
    <col min="8205" max="8211" width="9" style="38" hidden="1" customWidth="1"/>
    <col min="8212" max="8448" width="9" style="38"/>
    <col min="8449" max="8449" width="6.875" style="38" customWidth="1"/>
    <col min="8450" max="8450" width="22.875" style="38" customWidth="1"/>
    <col min="8451" max="8451" width="9" style="38" hidden="1" customWidth="1"/>
    <col min="8452" max="8452" width="25" style="38" customWidth="1"/>
    <col min="8453" max="8453" width="8.625" style="38" customWidth="1"/>
    <col min="8454" max="8454" width="20.875" style="38" customWidth="1"/>
    <col min="8455" max="8455" width="12.75" style="38" customWidth="1"/>
    <col min="8456" max="8456" width="12" style="38" customWidth="1"/>
    <col min="8457" max="8457" width="10.125" style="38" customWidth="1"/>
    <col min="8458" max="8458" width="10.75" style="38" customWidth="1"/>
    <col min="8459" max="8459" width="9" style="38" hidden="1" customWidth="1"/>
    <col min="8460" max="8460" width="11.75" style="38" customWidth="1"/>
    <col min="8461" max="8467" width="9" style="38" hidden="1" customWidth="1"/>
    <col min="8468" max="8704" width="9" style="38"/>
    <col min="8705" max="8705" width="6.875" style="38" customWidth="1"/>
    <col min="8706" max="8706" width="22.875" style="38" customWidth="1"/>
    <col min="8707" max="8707" width="9" style="38" hidden="1" customWidth="1"/>
    <col min="8708" max="8708" width="25" style="38" customWidth="1"/>
    <col min="8709" max="8709" width="8.625" style="38" customWidth="1"/>
    <col min="8710" max="8710" width="20.875" style="38" customWidth="1"/>
    <col min="8711" max="8711" width="12.75" style="38" customWidth="1"/>
    <col min="8712" max="8712" width="12" style="38" customWidth="1"/>
    <col min="8713" max="8713" width="10.125" style="38" customWidth="1"/>
    <col min="8714" max="8714" width="10.75" style="38" customWidth="1"/>
    <col min="8715" max="8715" width="9" style="38" hidden="1" customWidth="1"/>
    <col min="8716" max="8716" width="11.75" style="38" customWidth="1"/>
    <col min="8717" max="8723" width="9" style="38" hidden="1" customWidth="1"/>
    <col min="8724" max="8960" width="9" style="38"/>
    <col min="8961" max="8961" width="6.875" style="38" customWidth="1"/>
    <col min="8962" max="8962" width="22.875" style="38" customWidth="1"/>
    <col min="8963" max="8963" width="9" style="38" hidden="1" customWidth="1"/>
    <col min="8964" max="8964" width="25" style="38" customWidth="1"/>
    <col min="8965" max="8965" width="8.625" style="38" customWidth="1"/>
    <col min="8966" max="8966" width="20.875" style="38" customWidth="1"/>
    <col min="8967" max="8967" width="12.75" style="38" customWidth="1"/>
    <col min="8968" max="8968" width="12" style="38" customWidth="1"/>
    <col min="8969" max="8969" width="10.125" style="38" customWidth="1"/>
    <col min="8970" max="8970" width="10.75" style="38" customWidth="1"/>
    <col min="8971" max="8971" width="9" style="38" hidden="1" customWidth="1"/>
    <col min="8972" max="8972" width="11.75" style="38" customWidth="1"/>
    <col min="8973" max="8979" width="9" style="38" hidden="1" customWidth="1"/>
    <col min="8980" max="9216" width="9" style="38"/>
    <col min="9217" max="9217" width="6.875" style="38" customWidth="1"/>
    <col min="9218" max="9218" width="22.875" style="38" customWidth="1"/>
    <col min="9219" max="9219" width="9" style="38" hidden="1" customWidth="1"/>
    <col min="9220" max="9220" width="25" style="38" customWidth="1"/>
    <col min="9221" max="9221" width="8.625" style="38" customWidth="1"/>
    <col min="9222" max="9222" width="20.875" style="38" customWidth="1"/>
    <col min="9223" max="9223" width="12.75" style="38" customWidth="1"/>
    <col min="9224" max="9224" width="12" style="38" customWidth="1"/>
    <col min="9225" max="9225" width="10.125" style="38" customWidth="1"/>
    <col min="9226" max="9226" width="10.75" style="38" customWidth="1"/>
    <col min="9227" max="9227" width="9" style="38" hidden="1" customWidth="1"/>
    <col min="9228" max="9228" width="11.75" style="38" customWidth="1"/>
    <col min="9229" max="9235" width="9" style="38" hidden="1" customWidth="1"/>
    <col min="9236" max="9472" width="9" style="38"/>
    <col min="9473" max="9473" width="6.875" style="38" customWidth="1"/>
    <col min="9474" max="9474" width="22.875" style="38" customWidth="1"/>
    <col min="9475" max="9475" width="9" style="38" hidden="1" customWidth="1"/>
    <col min="9476" max="9476" width="25" style="38" customWidth="1"/>
    <col min="9477" max="9477" width="8.625" style="38" customWidth="1"/>
    <col min="9478" max="9478" width="20.875" style="38" customWidth="1"/>
    <col min="9479" max="9479" width="12.75" style="38" customWidth="1"/>
    <col min="9480" max="9480" width="12" style="38" customWidth="1"/>
    <col min="9481" max="9481" width="10.125" style="38" customWidth="1"/>
    <col min="9482" max="9482" width="10.75" style="38" customWidth="1"/>
    <col min="9483" max="9483" width="9" style="38" hidden="1" customWidth="1"/>
    <col min="9484" max="9484" width="11.75" style="38" customWidth="1"/>
    <col min="9485" max="9491" width="9" style="38" hidden="1" customWidth="1"/>
    <col min="9492" max="9728" width="9" style="38"/>
    <col min="9729" max="9729" width="6.875" style="38" customWidth="1"/>
    <col min="9730" max="9730" width="22.875" style="38" customWidth="1"/>
    <col min="9731" max="9731" width="9" style="38" hidden="1" customWidth="1"/>
    <col min="9732" max="9732" width="25" style="38" customWidth="1"/>
    <col min="9733" max="9733" width="8.625" style="38" customWidth="1"/>
    <col min="9734" max="9734" width="20.875" style="38" customWidth="1"/>
    <col min="9735" max="9735" width="12.75" style="38" customWidth="1"/>
    <col min="9736" max="9736" width="12" style="38" customWidth="1"/>
    <col min="9737" max="9737" width="10.125" style="38" customWidth="1"/>
    <col min="9738" max="9738" width="10.75" style="38" customWidth="1"/>
    <col min="9739" max="9739" width="9" style="38" hidden="1" customWidth="1"/>
    <col min="9740" max="9740" width="11.75" style="38" customWidth="1"/>
    <col min="9741" max="9747" width="9" style="38" hidden="1" customWidth="1"/>
    <col min="9748" max="9984" width="9" style="38"/>
    <col min="9985" max="9985" width="6.875" style="38" customWidth="1"/>
    <col min="9986" max="9986" width="22.875" style="38" customWidth="1"/>
    <col min="9987" max="9987" width="9" style="38" hidden="1" customWidth="1"/>
    <col min="9988" max="9988" width="25" style="38" customWidth="1"/>
    <col min="9989" max="9989" width="8.625" style="38" customWidth="1"/>
    <col min="9990" max="9990" width="20.875" style="38" customWidth="1"/>
    <col min="9991" max="9991" width="12.75" style="38" customWidth="1"/>
    <col min="9992" max="9992" width="12" style="38" customWidth="1"/>
    <col min="9993" max="9993" width="10.125" style="38" customWidth="1"/>
    <col min="9994" max="9994" width="10.75" style="38" customWidth="1"/>
    <col min="9995" max="9995" width="9" style="38" hidden="1" customWidth="1"/>
    <col min="9996" max="9996" width="11.75" style="38" customWidth="1"/>
    <col min="9997" max="10003" width="9" style="38" hidden="1" customWidth="1"/>
    <col min="10004" max="10240" width="9" style="38"/>
    <col min="10241" max="10241" width="6.875" style="38" customWidth="1"/>
    <col min="10242" max="10242" width="22.875" style="38" customWidth="1"/>
    <col min="10243" max="10243" width="9" style="38" hidden="1" customWidth="1"/>
    <col min="10244" max="10244" width="25" style="38" customWidth="1"/>
    <col min="10245" max="10245" width="8.625" style="38" customWidth="1"/>
    <col min="10246" max="10246" width="20.875" style="38" customWidth="1"/>
    <col min="10247" max="10247" width="12.75" style="38" customWidth="1"/>
    <col min="10248" max="10248" width="12" style="38" customWidth="1"/>
    <col min="10249" max="10249" width="10.125" style="38" customWidth="1"/>
    <col min="10250" max="10250" width="10.75" style="38" customWidth="1"/>
    <col min="10251" max="10251" width="9" style="38" hidden="1" customWidth="1"/>
    <col min="10252" max="10252" width="11.75" style="38" customWidth="1"/>
    <col min="10253" max="10259" width="9" style="38" hidden="1" customWidth="1"/>
    <col min="10260" max="10496" width="9" style="38"/>
    <col min="10497" max="10497" width="6.875" style="38" customWidth="1"/>
    <col min="10498" max="10498" width="22.875" style="38" customWidth="1"/>
    <col min="10499" max="10499" width="9" style="38" hidden="1" customWidth="1"/>
    <col min="10500" max="10500" width="25" style="38" customWidth="1"/>
    <col min="10501" max="10501" width="8.625" style="38" customWidth="1"/>
    <col min="10502" max="10502" width="20.875" style="38" customWidth="1"/>
    <col min="10503" max="10503" width="12.75" style="38" customWidth="1"/>
    <col min="10504" max="10504" width="12" style="38" customWidth="1"/>
    <col min="10505" max="10505" width="10.125" style="38" customWidth="1"/>
    <col min="10506" max="10506" width="10.75" style="38" customWidth="1"/>
    <col min="10507" max="10507" width="9" style="38" hidden="1" customWidth="1"/>
    <col min="10508" max="10508" width="11.75" style="38" customWidth="1"/>
    <col min="10509" max="10515" width="9" style="38" hidden="1" customWidth="1"/>
    <col min="10516" max="10752" width="9" style="38"/>
    <col min="10753" max="10753" width="6.875" style="38" customWidth="1"/>
    <col min="10754" max="10754" width="22.875" style="38" customWidth="1"/>
    <col min="10755" max="10755" width="9" style="38" hidden="1" customWidth="1"/>
    <col min="10756" max="10756" width="25" style="38" customWidth="1"/>
    <col min="10757" max="10757" width="8.625" style="38" customWidth="1"/>
    <col min="10758" max="10758" width="20.875" style="38" customWidth="1"/>
    <col min="10759" max="10759" width="12.75" style="38" customWidth="1"/>
    <col min="10760" max="10760" width="12" style="38" customWidth="1"/>
    <col min="10761" max="10761" width="10.125" style="38" customWidth="1"/>
    <col min="10762" max="10762" width="10.75" style="38" customWidth="1"/>
    <col min="10763" max="10763" width="9" style="38" hidden="1" customWidth="1"/>
    <col min="10764" max="10764" width="11.75" style="38" customWidth="1"/>
    <col min="10765" max="10771" width="9" style="38" hidden="1" customWidth="1"/>
    <col min="10772" max="11008" width="9" style="38"/>
    <col min="11009" max="11009" width="6.875" style="38" customWidth="1"/>
    <col min="11010" max="11010" width="22.875" style="38" customWidth="1"/>
    <col min="11011" max="11011" width="9" style="38" hidden="1" customWidth="1"/>
    <col min="11012" max="11012" width="25" style="38" customWidth="1"/>
    <col min="11013" max="11013" width="8.625" style="38" customWidth="1"/>
    <col min="11014" max="11014" width="20.875" style="38" customWidth="1"/>
    <col min="11015" max="11015" width="12.75" style="38" customWidth="1"/>
    <col min="11016" max="11016" width="12" style="38" customWidth="1"/>
    <col min="11017" max="11017" width="10.125" style="38" customWidth="1"/>
    <col min="11018" max="11018" width="10.75" style="38" customWidth="1"/>
    <col min="11019" max="11019" width="9" style="38" hidden="1" customWidth="1"/>
    <col min="11020" max="11020" width="11.75" style="38" customWidth="1"/>
    <col min="11021" max="11027" width="9" style="38" hidden="1" customWidth="1"/>
    <col min="11028" max="11264" width="9" style="38"/>
    <col min="11265" max="11265" width="6.875" style="38" customWidth="1"/>
    <col min="11266" max="11266" width="22.875" style="38" customWidth="1"/>
    <col min="11267" max="11267" width="9" style="38" hidden="1" customWidth="1"/>
    <col min="11268" max="11268" width="25" style="38" customWidth="1"/>
    <col min="11269" max="11269" width="8.625" style="38" customWidth="1"/>
    <col min="11270" max="11270" width="20.875" style="38" customWidth="1"/>
    <col min="11271" max="11271" width="12.75" style="38" customWidth="1"/>
    <col min="11272" max="11272" width="12" style="38" customWidth="1"/>
    <col min="11273" max="11273" width="10.125" style="38" customWidth="1"/>
    <col min="11274" max="11274" width="10.75" style="38" customWidth="1"/>
    <col min="11275" max="11275" width="9" style="38" hidden="1" customWidth="1"/>
    <col min="11276" max="11276" width="11.75" style="38" customWidth="1"/>
    <col min="11277" max="11283" width="9" style="38" hidden="1" customWidth="1"/>
    <col min="11284" max="11520" width="9" style="38"/>
    <col min="11521" max="11521" width="6.875" style="38" customWidth="1"/>
    <col min="11522" max="11522" width="22.875" style="38" customWidth="1"/>
    <col min="11523" max="11523" width="9" style="38" hidden="1" customWidth="1"/>
    <col min="11524" max="11524" width="25" style="38" customWidth="1"/>
    <col min="11525" max="11525" width="8.625" style="38" customWidth="1"/>
    <col min="11526" max="11526" width="20.875" style="38" customWidth="1"/>
    <col min="11527" max="11527" width="12.75" style="38" customWidth="1"/>
    <col min="11528" max="11528" width="12" style="38" customWidth="1"/>
    <col min="11529" max="11529" width="10.125" style="38" customWidth="1"/>
    <col min="11530" max="11530" width="10.75" style="38" customWidth="1"/>
    <col min="11531" max="11531" width="9" style="38" hidden="1" customWidth="1"/>
    <col min="11532" max="11532" width="11.75" style="38" customWidth="1"/>
    <col min="11533" max="11539" width="9" style="38" hidden="1" customWidth="1"/>
    <col min="11540" max="11776" width="9" style="38"/>
    <col min="11777" max="11777" width="6.875" style="38" customWidth="1"/>
    <col min="11778" max="11778" width="22.875" style="38" customWidth="1"/>
    <col min="11779" max="11779" width="9" style="38" hidden="1" customWidth="1"/>
    <col min="11780" max="11780" width="25" style="38" customWidth="1"/>
    <col min="11781" max="11781" width="8.625" style="38" customWidth="1"/>
    <col min="11782" max="11782" width="20.875" style="38" customWidth="1"/>
    <col min="11783" max="11783" width="12.75" style="38" customWidth="1"/>
    <col min="11784" max="11784" width="12" style="38" customWidth="1"/>
    <col min="11785" max="11785" width="10.125" style="38" customWidth="1"/>
    <col min="11786" max="11786" width="10.75" style="38" customWidth="1"/>
    <col min="11787" max="11787" width="9" style="38" hidden="1" customWidth="1"/>
    <col min="11788" max="11788" width="11.75" style="38" customWidth="1"/>
    <col min="11789" max="11795" width="9" style="38" hidden="1" customWidth="1"/>
    <col min="11796" max="12032" width="9" style="38"/>
    <col min="12033" max="12033" width="6.875" style="38" customWidth="1"/>
    <col min="12034" max="12034" width="22.875" style="38" customWidth="1"/>
    <col min="12035" max="12035" width="9" style="38" hidden="1" customWidth="1"/>
    <col min="12036" max="12036" width="25" style="38" customWidth="1"/>
    <col min="12037" max="12037" width="8.625" style="38" customWidth="1"/>
    <col min="12038" max="12038" width="20.875" style="38" customWidth="1"/>
    <col min="12039" max="12039" width="12.75" style="38" customWidth="1"/>
    <col min="12040" max="12040" width="12" style="38" customWidth="1"/>
    <col min="12041" max="12041" width="10.125" style="38" customWidth="1"/>
    <col min="12042" max="12042" width="10.75" style="38" customWidth="1"/>
    <col min="12043" max="12043" width="9" style="38" hidden="1" customWidth="1"/>
    <col min="12044" max="12044" width="11.75" style="38" customWidth="1"/>
    <col min="12045" max="12051" width="9" style="38" hidden="1" customWidth="1"/>
    <col min="12052" max="12288" width="9" style="38"/>
    <col min="12289" max="12289" width="6.875" style="38" customWidth="1"/>
    <col min="12290" max="12290" width="22.875" style="38" customWidth="1"/>
    <col min="12291" max="12291" width="9" style="38" hidden="1" customWidth="1"/>
    <col min="12292" max="12292" width="25" style="38" customWidth="1"/>
    <col min="12293" max="12293" width="8.625" style="38" customWidth="1"/>
    <col min="12294" max="12294" width="20.875" style="38" customWidth="1"/>
    <col min="12295" max="12295" width="12.75" style="38" customWidth="1"/>
    <col min="12296" max="12296" width="12" style="38" customWidth="1"/>
    <col min="12297" max="12297" width="10.125" style="38" customWidth="1"/>
    <col min="12298" max="12298" width="10.75" style="38" customWidth="1"/>
    <col min="12299" max="12299" width="9" style="38" hidden="1" customWidth="1"/>
    <col min="12300" max="12300" width="11.75" style="38" customWidth="1"/>
    <col min="12301" max="12307" width="9" style="38" hidden="1" customWidth="1"/>
    <col min="12308" max="12544" width="9" style="38"/>
    <col min="12545" max="12545" width="6.875" style="38" customWidth="1"/>
    <col min="12546" max="12546" width="22.875" style="38" customWidth="1"/>
    <col min="12547" max="12547" width="9" style="38" hidden="1" customWidth="1"/>
    <col min="12548" max="12548" width="25" style="38" customWidth="1"/>
    <col min="12549" max="12549" width="8.625" style="38" customWidth="1"/>
    <col min="12550" max="12550" width="20.875" style="38" customWidth="1"/>
    <col min="12551" max="12551" width="12.75" style="38" customWidth="1"/>
    <col min="12552" max="12552" width="12" style="38" customWidth="1"/>
    <col min="12553" max="12553" width="10.125" style="38" customWidth="1"/>
    <col min="12554" max="12554" width="10.75" style="38" customWidth="1"/>
    <col min="12555" max="12555" width="9" style="38" hidden="1" customWidth="1"/>
    <col min="12556" max="12556" width="11.75" style="38" customWidth="1"/>
    <col min="12557" max="12563" width="9" style="38" hidden="1" customWidth="1"/>
    <col min="12564" max="12800" width="9" style="38"/>
    <col min="12801" max="12801" width="6.875" style="38" customWidth="1"/>
    <col min="12802" max="12802" width="22.875" style="38" customWidth="1"/>
    <col min="12803" max="12803" width="9" style="38" hidden="1" customWidth="1"/>
    <col min="12804" max="12804" width="25" style="38" customWidth="1"/>
    <col min="12805" max="12805" width="8.625" style="38" customWidth="1"/>
    <col min="12806" max="12806" width="20.875" style="38" customWidth="1"/>
    <col min="12807" max="12807" width="12.75" style="38" customWidth="1"/>
    <col min="12808" max="12808" width="12" style="38" customWidth="1"/>
    <col min="12809" max="12809" width="10.125" style="38" customWidth="1"/>
    <col min="12810" max="12810" width="10.75" style="38" customWidth="1"/>
    <col min="12811" max="12811" width="9" style="38" hidden="1" customWidth="1"/>
    <col min="12812" max="12812" width="11.75" style="38" customWidth="1"/>
    <col min="12813" max="12819" width="9" style="38" hidden="1" customWidth="1"/>
    <col min="12820" max="13056" width="9" style="38"/>
    <col min="13057" max="13057" width="6.875" style="38" customWidth="1"/>
    <col min="13058" max="13058" width="22.875" style="38" customWidth="1"/>
    <col min="13059" max="13059" width="9" style="38" hidden="1" customWidth="1"/>
    <col min="13060" max="13060" width="25" style="38" customWidth="1"/>
    <col min="13061" max="13061" width="8.625" style="38" customWidth="1"/>
    <col min="13062" max="13062" width="20.875" style="38" customWidth="1"/>
    <col min="13063" max="13063" width="12.75" style="38" customWidth="1"/>
    <col min="13064" max="13064" width="12" style="38" customWidth="1"/>
    <col min="13065" max="13065" width="10.125" style="38" customWidth="1"/>
    <col min="13066" max="13066" width="10.75" style="38" customWidth="1"/>
    <col min="13067" max="13067" width="9" style="38" hidden="1" customWidth="1"/>
    <col min="13068" max="13068" width="11.75" style="38" customWidth="1"/>
    <col min="13069" max="13075" width="9" style="38" hidden="1" customWidth="1"/>
    <col min="13076" max="13312" width="9" style="38"/>
    <col min="13313" max="13313" width="6.875" style="38" customWidth="1"/>
    <col min="13314" max="13314" width="22.875" style="38" customWidth="1"/>
    <col min="13315" max="13315" width="9" style="38" hidden="1" customWidth="1"/>
    <col min="13316" max="13316" width="25" style="38" customWidth="1"/>
    <col min="13317" max="13317" width="8.625" style="38" customWidth="1"/>
    <col min="13318" max="13318" width="20.875" style="38" customWidth="1"/>
    <col min="13319" max="13319" width="12.75" style="38" customWidth="1"/>
    <col min="13320" max="13320" width="12" style="38" customWidth="1"/>
    <col min="13321" max="13321" width="10.125" style="38" customWidth="1"/>
    <col min="13322" max="13322" width="10.75" style="38" customWidth="1"/>
    <col min="13323" max="13323" width="9" style="38" hidden="1" customWidth="1"/>
    <col min="13324" max="13324" width="11.75" style="38" customWidth="1"/>
    <col min="13325" max="13331" width="9" style="38" hidden="1" customWidth="1"/>
    <col min="13332" max="13568" width="9" style="38"/>
    <col min="13569" max="13569" width="6.875" style="38" customWidth="1"/>
    <col min="13570" max="13570" width="22.875" style="38" customWidth="1"/>
    <col min="13571" max="13571" width="9" style="38" hidden="1" customWidth="1"/>
    <col min="13572" max="13572" width="25" style="38" customWidth="1"/>
    <col min="13573" max="13573" width="8.625" style="38" customWidth="1"/>
    <col min="13574" max="13574" width="20.875" style="38" customWidth="1"/>
    <col min="13575" max="13575" width="12.75" style="38" customWidth="1"/>
    <col min="13576" max="13576" width="12" style="38" customWidth="1"/>
    <col min="13577" max="13577" width="10.125" style="38" customWidth="1"/>
    <col min="13578" max="13578" width="10.75" style="38" customWidth="1"/>
    <col min="13579" max="13579" width="9" style="38" hidden="1" customWidth="1"/>
    <col min="13580" max="13580" width="11.75" style="38" customWidth="1"/>
    <col min="13581" max="13587" width="9" style="38" hidden="1" customWidth="1"/>
    <col min="13588" max="13824" width="9" style="38"/>
    <col min="13825" max="13825" width="6.875" style="38" customWidth="1"/>
    <col min="13826" max="13826" width="22.875" style="38" customWidth="1"/>
    <col min="13827" max="13827" width="9" style="38" hidden="1" customWidth="1"/>
    <col min="13828" max="13828" width="25" style="38" customWidth="1"/>
    <col min="13829" max="13829" width="8.625" style="38" customWidth="1"/>
    <col min="13830" max="13830" width="20.875" style="38" customWidth="1"/>
    <col min="13831" max="13831" width="12.75" style="38" customWidth="1"/>
    <col min="13832" max="13832" width="12" style="38" customWidth="1"/>
    <col min="13833" max="13833" width="10.125" style="38" customWidth="1"/>
    <col min="13834" max="13834" width="10.75" style="38" customWidth="1"/>
    <col min="13835" max="13835" width="9" style="38" hidden="1" customWidth="1"/>
    <col min="13836" max="13836" width="11.75" style="38" customWidth="1"/>
    <col min="13837" max="13843" width="9" style="38" hidden="1" customWidth="1"/>
    <col min="13844" max="14080" width="9" style="38"/>
    <col min="14081" max="14081" width="6.875" style="38" customWidth="1"/>
    <col min="14082" max="14082" width="22.875" style="38" customWidth="1"/>
    <col min="14083" max="14083" width="9" style="38" hidden="1" customWidth="1"/>
    <col min="14084" max="14084" width="25" style="38" customWidth="1"/>
    <col min="14085" max="14085" width="8.625" style="38" customWidth="1"/>
    <col min="14086" max="14086" width="20.875" style="38" customWidth="1"/>
    <col min="14087" max="14087" width="12.75" style="38" customWidth="1"/>
    <col min="14088" max="14088" width="12" style="38" customWidth="1"/>
    <col min="14089" max="14089" width="10.125" style="38" customWidth="1"/>
    <col min="14090" max="14090" width="10.75" style="38" customWidth="1"/>
    <col min="14091" max="14091" width="9" style="38" hidden="1" customWidth="1"/>
    <col min="14092" max="14092" width="11.75" style="38" customWidth="1"/>
    <col min="14093" max="14099" width="9" style="38" hidden="1" customWidth="1"/>
    <col min="14100" max="14336" width="9" style="38"/>
    <col min="14337" max="14337" width="6.875" style="38" customWidth="1"/>
    <col min="14338" max="14338" width="22.875" style="38" customWidth="1"/>
    <col min="14339" max="14339" width="9" style="38" hidden="1" customWidth="1"/>
    <col min="14340" max="14340" width="25" style="38" customWidth="1"/>
    <col min="14341" max="14341" width="8.625" style="38" customWidth="1"/>
    <col min="14342" max="14342" width="20.875" style="38" customWidth="1"/>
    <col min="14343" max="14343" width="12.75" style="38" customWidth="1"/>
    <col min="14344" max="14344" width="12" style="38" customWidth="1"/>
    <col min="14345" max="14345" width="10.125" style="38" customWidth="1"/>
    <col min="14346" max="14346" width="10.75" style="38" customWidth="1"/>
    <col min="14347" max="14347" width="9" style="38" hidden="1" customWidth="1"/>
    <col min="14348" max="14348" width="11.75" style="38" customWidth="1"/>
    <col min="14349" max="14355" width="9" style="38" hidden="1" customWidth="1"/>
    <col min="14356" max="14592" width="9" style="38"/>
    <col min="14593" max="14593" width="6.875" style="38" customWidth="1"/>
    <col min="14594" max="14594" width="22.875" style="38" customWidth="1"/>
    <col min="14595" max="14595" width="9" style="38" hidden="1" customWidth="1"/>
    <col min="14596" max="14596" width="25" style="38" customWidth="1"/>
    <col min="14597" max="14597" width="8.625" style="38" customWidth="1"/>
    <col min="14598" max="14598" width="20.875" style="38" customWidth="1"/>
    <col min="14599" max="14599" width="12.75" style="38" customWidth="1"/>
    <col min="14600" max="14600" width="12" style="38" customWidth="1"/>
    <col min="14601" max="14601" width="10.125" style="38" customWidth="1"/>
    <col min="14602" max="14602" width="10.75" style="38" customWidth="1"/>
    <col min="14603" max="14603" width="9" style="38" hidden="1" customWidth="1"/>
    <col min="14604" max="14604" width="11.75" style="38" customWidth="1"/>
    <col min="14605" max="14611" width="9" style="38" hidden="1" customWidth="1"/>
    <col min="14612" max="14848" width="9" style="38"/>
    <col min="14849" max="14849" width="6.875" style="38" customWidth="1"/>
    <col min="14850" max="14850" width="22.875" style="38" customWidth="1"/>
    <col min="14851" max="14851" width="9" style="38" hidden="1" customWidth="1"/>
    <col min="14852" max="14852" width="25" style="38" customWidth="1"/>
    <col min="14853" max="14853" width="8.625" style="38" customWidth="1"/>
    <col min="14854" max="14854" width="20.875" style="38" customWidth="1"/>
    <col min="14855" max="14855" width="12.75" style="38" customWidth="1"/>
    <col min="14856" max="14856" width="12" style="38" customWidth="1"/>
    <col min="14857" max="14857" width="10.125" style="38" customWidth="1"/>
    <col min="14858" max="14858" width="10.75" style="38" customWidth="1"/>
    <col min="14859" max="14859" width="9" style="38" hidden="1" customWidth="1"/>
    <col min="14860" max="14860" width="11.75" style="38" customWidth="1"/>
    <col min="14861" max="14867" width="9" style="38" hidden="1" customWidth="1"/>
    <col min="14868" max="15104" width="9" style="38"/>
    <col min="15105" max="15105" width="6.875" style="38" customWidth="1"/>
    <col min="15106" max="15106" width="22.875" style="38" customWidth="1"/>
    <col min="15107" max="15107" width="9" style="38" hidden="1" customWidth="1"/>
    <col min="15108" max="15108" width="25" style="38" customWidth="1"/>
    <col min="15109" max="15109" width="8.625" style="38" customWidth="1"/>
    <col min="15110" max="15110" width="20.875" style="38" customWidth="1"/>
    <col min="15111" max="15111" width="12.75" style="38" customWidth="1"/>
    <col min="15112" max="15112" width="12" style="38" customWidth="1"/>
    <col min="15113" max="15113" width="10.125" style="38" customWidth="1"/>
    <col min="15114" max="15114" width="10.75" style="38" customWidth="1"/>
    <col min="15115" max="15115" width="9" style="38" hidden="1" customWidth="1"/>
    <col min="15116" max="15116" width="11.75" style="38" customWidth="1"/>
    <col min="15117" max="15123" width="9" style="38" hidden="1" customWidth="1"/>
    <col min="15124" max="15360" width="9" style="38"/>
    <col min="15361" max="15361" width="6.875" style="38" customWidth="1"/>
    <col min="15362" max="15362" width="22.875" style="38" customWidth="1"/>
    <col min="15363" max="15363" width="9" style="38" hidden="1" customWidth="1"/>
    <col min="15364" max="15364" width="25" style="38" customWidth="1"/>
    <col min="15365" max="15365" width="8.625" style="38" customWidth="1"/>
    <col min="15366" max="15366" width="20.875" style="38" customWidth="1"/>
    <col min="15367" max="15367" width="12.75" style="38" customWidth="1"/>
    <col min="15368" max="15368" width="12" style="38" customWidth="1"/>
    <col min="15369" max="15369" width="10.125" style="38" customWidth="1"/>
    <col min="15370" max="15370" width="10.75" style="38" customWidth="1"/>
    <col min="15371" max="15371" width="9" style="38" hidden="1" customWidth="1"/>
    <col min="15372" max="15372" width="11.75" style="38" customWidth="1"/>
    <col min="15373" max="15379" width="9" style="38" hidden="1" customWidth="1"/>
    <col min="15380" max="15616" width="9" style="38"/>
    <col min="15617" max="15617" width="6.875" style="38" customWidth="1"/>
    <col min="15618" max="15618" width="22.875" style="38" customWidth="1"/>
    <col min="15619" max="15619" width="9" style="38" hidden="1" customWidth="1"/>
    <col min="15620" max="15620" width="25" style="38" customWidth="1"/>
    <col min="15621" max="15621" width="8.625" style="38" customWidth="1"/>
    <col min="15622" max="15622" width="20.875" style="38" customWidth="1"/>
    <col min="15623" max="15623" width="12.75" style="38" customWidth="1"/>
    <col min="15624" max="15624" width="12" style="38" customWidth="1"/>
    <col min="15625" max="15625" width="10.125" style="38" customWidth="1"/>
    <col min="15626" max="15626" width="10.75" style="38" customWidth="1"/>
    <col min="15627" max="15627" width="9" style="38" hidden="1" customWidth="1"/>
    <col min="15628" max="15628" width="11.75" style="38" customWidth="1"/>
    <col min="15629" max="15635" width="9" style="38" hidden="1" customWidth="1"/>
    <col min="15636" max="15872" width="9" style="38"/>
    <col min="15873" max="15873" width="6.875" style="38" customWidth="1"/>
    <col min="15874" max="15874" width="22.875" style="38" customWidth="1"/>
    <col min="15875" max="15875" width="9" style="38" hidden="1" customWidth="1"/>
    <col min="15876" max="15876" width="25" style="38" customWidth="1"/>
    <col min="15877" max="15877" width="8.625" style="38" customWidth="1"/>
    <col min="15878" max="15878" width="20.875" style="38" customWidth="1"/>
    <col min="15879" max="15879" width="12.75" style="38" customWidth="1"/>
    <col min="15880" max="15880" width="12" style="38" customWidth="1"/>
    <col min="15881" max="15881" width="10.125" style="38" customWidth="1"/>
    <col min="15882" max="15882" width="10.75" style="38" customWidth="1"/>
    <col min="15883" max="15883" width="9" style="38" hidden="1" customWidth="1"/>
    <col min="15884" max="15884" width="11.75" style="38" customWidth="1"/>
    <col min="15885" max="15891" width="9" style="38" hidden="1" customWidth="1"/>
    <col min="15892" max="16128" width="9" style="38"/>
    <col min="16129" max="16129" width="6.875" style="38" customWidth="1"/>
    <col min="16130" max="16130" width="22.875" style="38" customWidth="1"/>
    <col min="16131" max="16131" width="9" style="38" hidden="1" customWidth="1"/>
    <col min="16132" max="16132" width="25" style="38" customWidth="1"/>
    <col min="16133" max="16133" width="8.625" style="38" customWidth="1"/>
    <col min="16134" max="16134" width="20.875" style="38" customWidth="1"/>
    <col min="16135" max="16135" width="12.75" style="38" customWidth="1"/>
    <col min="16136" max="16136" width="12" style="38" customWidth="1"/>
    <col min="16137" max="16137" width="10.125" style="38" customWidth="1"/>
    <col min="16138" max="16138" width="10.75" style="38" customWidth="1"/>
    <col min="16139" max="16139" width="9" style="38" hidden="1" customWidth="1"/>
    <col min="16140" max="16140" width="11.75" style="38" customWidth="1"/>
    <col min="16141" max="16147" width="9" style="38" hidden="1" customWidth="1"/>
    <col min="16148" max="16384" width="9" style="38"/>
  </cols>
  <sheetData>
    <row r="1" spans="1:4">
      <c r="A1" s="39" t="s">
        <v>241</v>
      </c>
      <c r="B1" s="39"/>
      <c r="D1" s="40"/>
    </row>
    <row r="2" ht="25.5" spans="1:19">
      <c r="A2" s="41" t="s">
        <v>242</v>
      </c>
      <c r="B2" s="41"/>
      <c r="C2" s="41"/>
      <c r="D2" s="41"/>
      <c r="E2" s="41"/>
      <c r="F2" s="41"/>
      <c r="G2" s="41"/>
      <c r="H2" s="41"/>
      <c r="I2" s="41"/>
      <c r="J2" s="41"/>
      <c r="K2" s="41"/>
      <c r="L2" s="41"/>
      <c r="M2" s="41"/>
      <c r="N2" s="41"/>
      <c r="O2" s="41"/>
      <c r="P2" s="41"/>
      <c r="Q2" s="41"/>
      <c r="R2" s="41"/>
      <c r="S2" s="41"/>
    </row>
    <row r="3" spans="1:19">
      <c r="A3" s="42" t="s">
        <v>2</v>
      </c>
      <c r="B3" s="42"/>
      <c r="C3" s="42"/>
      <c r="D3" s="42"/>
      <c r="E3" s="42"/>
      <c r="F3" s="42"/>
      <c r="G3" s="42"/>
      <c r="H3" s="42"/>
      <c r="I3" s="42"/>
      <c r="J3" s="42"/>
      <c r="K3" s="42"/>
      <c r="L3" s="42"/>
      <c r="M3" s="52"/>
      <c r="N3" s="52"/>
      <c r="O3" s="52"/>
      <c r="P3" s="52"/>
      <c r="Q3" s="52"/>
      <c r="R3" s="52"/>
      <c r="S3" s="52"/>
    </row>
    <row r="4" s="36" customFormat="1" ht="30" customHeight="1" spans="1:19">
      <c r="A4" s="43" t="s">
        <v>243</v>
      </c>
      <c r="B4" s="43" t="s">
        <v>244</v>
      </c>
      <c r="C4" s="43" t="s">
        <v>245</v>
      </c>
      <c r="D4" s="43" t="s">
        <v>246</v>
      </c>
      <c r="E4" s="43" t="s">
        <v>247</v>
      </c>
      <c r="F4" s="43" t="s">
        <v>248</v>
      </c>
      <c r="G4" s="43" t="s">
        <v>249</v>
      </c>
      <c r="H4" s="43" t="s">
        <v>250</v>
      </c>
      <c r="I4" s="43" t="s">
        <v>251</v>
      </c>
      <c r="J4" s="43" t="s">
        <v>252</v>
      </c>
      <c r="K4" s="43" t="s">
        <v>253</v>
      </c>
      <c r="L4" s="43" t="s">
        <v>254</v>
      </c>
      <c r="M4" s="53" t="s">
        <v>255</v>
      </c>
      <c r="N4" s="54" t="s">
        <v>256</v>
      </c>
      <c r="O4" s="54" t="s">
        <v>257</v>
      </c>
      <c r="P4" s="54" t="s">
        <v>258</v>
      </c>
      <c r="Q4" s="54" t="s">
        <v>259</v>
      </c>
      <c r="R4" s="54" t="s">
        <v>260</v>
      </c>
      <c r="S4" s="54" t="s">
        <v>261</v>
      </c>
    </row>
    <row r="5" s="36" customFormat="1" ht="24" hidden="1" spans="1:21">
      <c r="A5" s="44" t="s">
        <v>262</v>
      </c>
      <c r="B5" s="45" t="s">
        <v>263</v>
      </c>
      <c r="C5" s="45"/>
      <c r="D5" s="45" t="s">
        <v>264</v>
      </c>
      <c r="E5" s="45" t="s">
        <v>265</v>
      </c>
      <c r="F5" s="45" t="s">
        <v>266</v>
      </c>
      <c r="G5" s="45" t="s">
        <v>267</v>
      </c>
      <c r="H5" s="46"/>
      <c r="I5" s="55"/>
      <c r="J5" s="55"/>
      <c r="K5" s="55"/>
      <c r="L5" s="46">
        <v>0</v>
      </c>
      <c r="M5" s="56"/>
      <c r="N5" s="57"/>
      <c r="O5" s="57"/>
      <c r="P5" s="57"/>
      <c r="Q5" s="57"/>
      <c r="R5" s="58"/>
      <c r="S5" s="59"/>
      <c r="U5" s="60"/>
    </row>
    <row r="6" s="36" customFormat="1" ht="30" customHeight="1" spans="1:19">
      <c r="A6" s="44" t="s">
        <v>262</v>
      </c>
      <c r="B6" s="45" t="s">
        <v>268</v>
      </c>
      <c r="C6" s="45"/>
      <c r="D6" s="45" t="s">
        <v>269</v>
      </c>
      <c r="E6" s="45" t="s">
        <v>265</v>
      </c>
      <c r="F6" s="45" t="s">
        <v>269</v>
      </c>
      <c r="G6" s="45" t="s">
        <v>267</v>
      </c>
      <c r="H6" s="47">
        <v>27164.163396</v>
      </c>
      <c r="I6" s="50">
        <v>15855.950547</v>
      </c>
      <c r="J6" s="50">
        <v>714.652844</v>
      </c>
      <c r="K6" s="50">
        <v>888.270614</v>
      </c>
      <c r="L6" s="47">
        <f>H6+I6-J6</f>
        <v>42305.461099</v>
      </c>
      <c r="M6" s="56"/>
      <c r="N6" s="57"/>
      <c r="O6" s="57"/>
      <c r="P6" s="57"/>
      <c r="Q6" s="57"/>
      <c r="R6" s="58"/>
      <c r="S6" s="59"/>
    </row>
    <row r="7" s="36" customFormat="1" ht="24.95" customHeight="1" spans="1:19">
      <c r="A7" s="43" t="s">
        <v>270</v>
      </c>
      <c r="B7" s="43"/>
      <c r="C7" s="43"/>
      <c r="D7" s="43"/>
      <c r="E7" s="43"/>
      <c r="F7" s="43"/>
      <c r="G7" s="43"/>
      <c r="H7" s="48">
        <f>H5+H6</f>
        <v>27164.163396</v>
      </c>
      <c r="I7" s="48">
        <f t="shared" ref="I7:L7" si="0">I5+I6</f>
        <v>15855.950547</v>
      </c>
      <c r="J7" s="48">
        <f t="shared" si="0"/>
        <v>714.652844</v>
      </c>
      <c r="K7" s="48">
        <f t="shared" si="0"/>
        <v>888.270614</v>
      </c>
      <c r="L7" s="48">
        <f t="shared" si="0"/>
        <v>42305.461099</v>
      </c>
      <c r="M7" s="56"/>
      <c r="N7" s="57"/>
      <c r="O7" s="57"/>
      <c r="P7" s="57"/>
      <c r="Q7" s="57"/>
      <c r="R7" s="58"/>
      <c r="S7" s="59"/>
    </row>
    <row r="8" s="36" customFormat="1" ht="30" customHeight="1" spans="1:19">
      <c r="A8" s="44" t="s">
        <v>271</v>
      </c>
      <c r="B8" s="45" t="s">
        <v>272</v>
      </c>
      <c r="C8" s="45"/>
      <c r="D8" s="45" t="s">
        <v>273</v>
      </c>
      <c r="E8" s="45" t="s">
        <v>265</v>
      </c>
      <c r="F8" s="45" t="s">
        <v>274</v>
      </c>
      <c r="G8" s="45" t="s">
        <v>267</v>
      </c>
      <c r="H8" s="47">
        <v>535.207609</v>
      </c>
      <c r="I8" s="47"/>
      <c r="J8" s="47">
        <v>535.207609</v>
      </c>
      <c r="K8" s="47"/>
      <c r="L8" s="47">
        <v>0</v>
      </c>
      <c r="M8" s="56" t="s">
        <v>275</v>
      </c>
      <c r="N8" s="57" t="s">
        <v>276</v>
      </c>
      <c r="O8" s="57" t="s">
        <v>277</v>
      </c>
      <c r="P8" s="57" t="s">
        <v>278</v>
      </c>
      <c r="Q8" s="57" t="s">
        <v>279</v>
      </c>
      <c r="R8" s="58">
        <v>720.207609</v>
      </c>
      <c r="S8" s="59" t="s">
        <v>280</v>
      </c>
    </row>
    <row r="9" s="36" customFormat="1" ht="30" customHeight="1" spans="1:19">
      <c r="A9" s="44" t="s">
        <v>271</v>
      </c>
      <c r="B9" s="45" t="s">
        <v>272</v>
      </c>
      <c r="C9" s="45"/>
      <c r="D9" s="45" t="s">
        <v>281</v>
      </c>
      <c r="E9" s="45" t="s">
        <v>265</v>
      </c>
      <c r="F9" s="45" t="s">
        <v>282</v>
      </c>
      <c r="G9" s="45" t="s">
        <v>267</v>
      </c>
      <c r="H9" s="47">
        <v>0.629551</v>
      </c>
      <c r="I9" s="47"/>
      <c r="J9" s="47">
        <v>0.629551</v>
      </c>
      <c r="K9" s="47"/>
      <c r="L9" s="47">
        <v>0</v>
      </c>
      <c r="M9" s="56" t="s">
        <v>275</v>
      </c>
      <c r="N9" s="57" t="s">
        <v>283</v>
      </c>
      <c r="O9" s="57" t="s">
        <v>277</v>
      </c>
      <c r="P9" s="57" t="s">
        <v>278</v>
      </c>
      <c r="Q9" s="57" t="s">
        <v>281</v>
      </c>
      <c r="R9" s="58">
        <v>1884.529551</v>
      </c>
      <c r="S9" s="59" t="s">
        <v>280</v>
      </c>
    </row>
    <row r="10" s="36" customFormat="1" ht="30" customHeight="1" spans="1:19">
      <c r="A10" s="44" t="s">
        <v>271</v>
      </c>
      <c r="B10" s="45" t="s">
        <v>272</v>
      </c>
      <c r="C10" s="45"/>
      <c r="D10" s="45" t="s">
        <v>284</v>
      </c>
      <c r="E10" s="45" t="s">
        <v>265</v>
      </c>
      <c r="F10" s="45" t="s">
        <v>285</v>
      </c>
      <c r="G10" s="45" t="s">
        <v>267</v>
      </c>
      <c r="H10" s="47">
        <v>0.5155</v>
      </c>
      <c r="I10" s="47"/>
      <c r="J10" s="47">
        <v>0.5155</v>
      </c>
      <c r="K10" s="47"/>
      <c r="L10" s="47">
        <v>0</v>
      </c>
      <c r="M10" s="56" t="s">
        <v>275</v>
      </c>
      <c r="N10" s="57" t="s">
        <v>283</v>
      </c>
      <c r="O10" s="57" t="s">
        <v>277</v>
      </c>
      <c r="P10" s="57" t="s">
        <v>278</v>
      </c>
      <c r="Q10" s="57" t="s">
        <v>286</v>
      </c>
      <c r="R10" s="58">
        <v>1576.499992</v>
      </c>
      <c r="S10" s="59" t="s">
        <v>280</v>
      </c>
    </row>
    <row r="11" s="36" customFormat="1" ht="30" customHeight="1" spans="1:19">
      <c r="A11" s="44" t="s">
        <v>271</v>
      </c>
      <c r="B11" s="45" t="s">
        <v>272</v>
      </c>
      <c r="C11" s="45"/>
      <c r="D11" s="45" t="s">
        <v>287</v>
      </c>
      <c r="E11" s="45" t="s">
        <v>265</v>
      </c>
      <c r="F11" s="45" t="s">
        <v>288</v>
      </c>
      <c r="G11" s="45" t="s">
        <v>267</v>
      </c>
      <c r="H11" s="47">
        <v>300.486401</v>
      </c>
      <c r="I11" s="47"/>
      <c r="J11" s="47"/>
      <c r="K11" s="47"/>
      <c r="L11" s="47">
        <v>300.486401</v>
      </c>
      <c r="M11" s="56" t="s">
        <v>275</v>
      </c>
      <c r="N11" s="57" t="s">
        <v>289</v>
      </c>
      <c r="O11" s="57" t="s">
        <v>277</v>
      </c>
      <c r="P11" s="57" t="s">
        <v>278</v>
      </c>
      <c r="Q11" s="57" t="s">
        <v>284</v>
      </c>
      <c r="R11" s="58">
        <v>1807.6155</v>
      </c>
      <c r="S11" s="59" t="s">
        <v>280</v>
      </c>
    </row>
    <row r="12" s="36" customFormat="1" ht="30" customHeight="1" spans="1:19">
      <c r="A12" s="44" t="s">
        <v>271</v>
      </c>
      <c r="B12" s="45" t="s">
        <v>272</v>
      </c>
      <c r="C12" s="45"/>
      <c r="D12" s="45" t="s">
        <v>290</v>
      </c>
      <c r="E12" s="45" t="s">
        <v>265</v>
      </c>
      <c r="F12" s="45" t="s">
        <v>288</v>
      </c>
      <c r="G12" s="45" t="s">
        <v>267</v>
      </c>
      <c r="H12" s="47">
        <v>197.617527</v>
      </c>
      <c r="I12" s="47"/>
      <c r="J12" s="47"/>
      <c r="K12" s="47"/>
      <c r="L12" s="47">
        <v>197.617527</v>
      </c>
      <c r="M12" s="56" t="s">
        <v>275</v>
      </c>
      <c r="N12" s="57" t="s">
        <v>276</v>
      </c>
      <c r="O12" s="57" t="s">
        <v>277</v>
      </c>
      <c r="P12" s="57" t="s">
        <v>278</v>
      </c>
      <c r="Q12" s="57" t="s">
        <v>287</v>
      </c>
      <c r="R12" s="58">
        <v>700.486401</v>
      </c>
      <c r="S12" s="59" t="s">
        <v>280</v>
      </c>
    </row>
    <row r="13" s="36" customFormat="1" ht="30" customHeight="1" spans="1:19">
      <c r="A13" s="44" t="s">
        <v>291</v>
      </c>
      <c r="B13" s="45" t="s">
        <v>292</v>
      </c>
      <c r="C13" s="45"/>
      <c r="D13" s="45" t="s">
        <v>293</v>
      </c>
      <c r="E13" s="45" t="s">
        <v>294</v>
      </c>
      <c r="F13" s="45" t="s">
        <v>295</v>
      </c>
      <c r="G13" s="45" t="s">
        <v>296</v>
      </c>
      <c r="H13" s="47">
        <v>105.5</v>
      </c>
      <c r="I13" s="47"/>
      <c r="J13" s="47">
        <f>H13-L13</f>
        <v>5.381067</v>
      </c>
      <c r="K13" s="47"/>
      <c r="L13" s="47">
        <v>100.118933</v>
      </c>
      <c r="M13" s="56" t="s">
        <v>275</v>
      </c>
      <c r="N13" s="57" t="s">
        <v>297</v>
      </c>
      <c r="O13" s="57" t="s">
        <v>277</v>
      </c>
      <c r="P13" s="57" t="s">
        <v>278</v>
      </c>
      <c r="Q13" s="57" t="s">
        <v>290</v>
      </c>
      <c r="R13" s="58">
        <v>349.617527</v>
      </c>
      <c r="S13" s="59" t="s">
        <v>280</v>
      </c>
    </row>
    <row r="14" s="36" customFormat="1" ht="30" hidden="1" customHeight="1" spans="1:19">
      <c r="A14" s="44" t="s">
        <v>291</v>
      </c>
      <c r="B14" s="45" t="s">
        <v>292</v>
      </c>
      <c r="C14" s="45"/>
      <c r="D14" s="45" t="s">
        <v>298</v>
      </c>
      <c r="E14" s="45" t="s">
        <v>265</v>
      </c>
      <c r="F14" s="45" t="s">
        <v>299</v>
      </c>
      <c r="G14" s="45" t="s">
        <v>267</v>
      </c>
      <c r="H14" s="47">
        <v>0</v>
      </c>
      <c r="I14" s="47"/>
      <c r="J14" s="47"/>
      <c r="K14" s="47"/>
      <c r="L14" s="47"/>
      <c r="M14" s="56" t="s">
        <v>275</v>
      </c>
      <c r="N14" s="57" t="s">
        <v>300</v>
      </c>
      <c r="O14" s="57" t="s">
        <v>277</v>
      </c>
      <c r="P14" s="57" t="s">
        <v>278</v>
      </c>
      <c r="Q14" s="57" t="s">
        <v>301</v>
      </c>
      <c r="R14" s="58">
        <v>164.232773</v>
      </c>
      <c r="S14" s="59" t="s">
        <v>302</v>
      </c>
    </row>
    <row r="15" s="36" customFormat="1" ht="30" customHeight="1" spans="1:19">
      <c r="A15" s="44" t="s">
        <v>303</v>
      </c>
      <c r="B15" s="45" t="s">
        <v>304</v>
      </c>
      <c r="C15" s="45"/>
      <c r="D15" s="45" t="s">
        <v>305</v>
      </c>
      <c r="E15" s="45" t="s">
        <v>294</v>
      </c>
      <c r="F15" s="45"/>
      <c r="G15" s="45" t="s">
        <v>296</v>
      </c>
      <c r="H15" s="47">
        <v>50</v>
      </c>
      <c r="I15" s="47"/>
      <c r="J15" s="47"/>
      <c r="K15" s="47"/>
      <c r="L15" s="47">
        <v>50</v>
      </c>
      <c r="M15" s="56" t="s">
        <v>275</v>
      </c>
      <c r="N15" s="57" t="s">
        <v>306</v>
      </c>
      <c r="O15" s="57" t="s">
        <v>277</v>
      </c>
      <c r="P15" s="57" t="s">
        <v>278</v>
      </c>
      <c r="Q15" s="57" t="s">
        <v>307</v>
      </c>
      <c r="R15" s="58">
        <v>567.923669</v>
      </c>
      <c r="S15" s="59" t="s">
        <v>302</v>
      </c>
    </row>
    <row r="16" s="36" customFormat="1" ht="30" customHeight="1" spans="1:19">
      <c r="A16" s="44" t="s">
        <v>303</v>
      </c>
      <c r="B16" s="45" t="s">
        <v>304</v>
      </c>
      <c r="C16" s="45"/>
      <c r="D16" s="45" t="s">
        <v>308</v>
      </c>
      <c r="E16" s="45" t="s">
        <v>265</v>
      </c>
      <c r="F16" s="45" t="s">
        <v>308</v>
      </c>
      <c r="G16" s="45" t="s">
        <v>267</v>
      </c>
      <c r="H16" s="47">
        <v>11.373522</v>
      </c>
      <c r="I16" s="47"/>
      <c r="J16" s="47"/>
      <c r="K16" s="47"/>
      <c r="L16" s="47">
        <v>11.373522</v>
      </c>
      <c r="M16" s="56" t="s">
        <v>309</v>
      </c>
      <c r="N16" s="57" t="s">
        <v>310</v>
      </c>
      <c r="O16" s="57" t="s">
        <v>311</v>
      </c>
      <c r="P16" s="57" t="s">
        <v>312</v>
      </c>
      <c r="Q16" s="57" t="s">
        <v>313</v>
      </c>
      <c r="R16" s="58">
        <v>15</v>
      </c>
      <c r="S16" s="59" t="s">
        <v>302</v>
      </c>
    </row>
    <row r="17" s="36" customFormat="1" ht="30" customHeight="1" spans="1:19">
      <c r="A17" s="44" t="s">
        <v>303</v>
      </c>
      <c r="B17" s="45" t="s">
        <v>304</v>
      </c>
      <c r="C17" s="45"/>
      <c r="D17" s="45" t="s">
        <v>314</v>
      </c>
      <c r="E17" s="45" t="s">
        <v>265</v>
      </c>
      <c r="F17" s="45" t="s">
        <v>315</v>
      </c>
      <c r="G17" s="45" t="s">
        <v>267</v>
      </c>
      <c r="H17" s="47">
        <v>5.78029</v>
      </c>
      <c r="I17" s="47"/>
      <c r="J17" s="47"/>
      <c r="K17" s="47"/>
      <c r="L17" s="47">
        <v>5.78029</v>
      </c>
      <c r="M17" s="56" t="s">
        <v>275</v>
      </c>
      <c r="N17" s="57" t="s">
        <v>316</v>
      </c>
      <c r="O17" s="57" t="s">
        <v>277</v>
      </c>
      <c r="P17" s="57" t="s">
        <v>278</v>
      </c>
      <c r="Q17" s="57" t="s">
        <v>317</v>
      </c>
      <c r="R17" s="58">
        <v>1092.07315</v>
      </c>
      <c r="S17" s="59" t="s">
        <v>302</v>
      </c>
    </row>
    <row r="18" s="36" customFormat="1" ht="30" customHeight="1" spans="1:19">
      <c r="A18" s="44" t="s">
        <v>303</v>
      </c>
      <c r="B18" s="45" t="s">
        <v>304</v>
      </c>
      <c r="C18" s="45"/>
      <c r="D18" s="45" t="s">
        <v>318</v>
      </c>
      <c r="E18" s="45" t="s">
        <v>265</v>
      </c>
      <c r="F18" s="45" t="s">
        <v>318</v>
      </c>
      <c r="G18" s="45" t="s">
        <v>267</v>
      </c>
      <c r="H18" s="47">
        <v>118.79</v>
      </c>
      <c r="I18" s="47"/>
      <c r="J18" s="47">
        <v>17</v>
      </c>
      <c r="K18" s="47"/>
      <c r="L18" s="47">
        <f>H18-J18</f>
        <v>101.79</v>
      </c>
      <c r="M18" s="56" t="s">
        <v>275</v>
      </c>
      <c r="N18" s="57" t="s">
        <v>319</v>
      </c>
      <c r="O18" s="57" t="s">
        <v>277</v>
      </c>
      <c r="P18" s="57" t="s">
        <v>278</v>
      </c>
      <c r="Q18" s="57" t="s">
        <v>320</v>
      </c>
      <c r="R18" s="58">
        <v>915.6735</v>
      </c>
      <c r="S18" s="59" t="s">
        <v>302</v>
      </c>
    </row>
    <row r="19" s="36" customFormat="1" ht="30" customHeight="1" spans="1:19">
      <c r="A19" s="44" t="s">
        <v>303</v>
      </c>
      <c r="B19" s="45" t="s">
        <v>304</v>
      </c>
      <c r="C19" s="45"/>
      <c r="D19" s="45" t="s">
        <v>321</v>
      </c>
      <c r="E19" s="45" t="s">
        <v>265</v>
      </c>
      <c r="F19" s="45" t="s">
        <v>322</v>
      </c>
      <c r="G19" s="45" t="s">
        <v>267</v>
      </c>
      <c r="H19" s="47">
        <v>36.79</v>
      </c>
      <c r="I19" s="47"/>
      <c r="J19" s="47"/>
      <c r="K19" s="47"/>
      <c r="L19" s="47">
        <v>36.79</v>
      </c>
      <c r="M19" s="56" t="s">
        <v>323</v>
      </c>
      <c r="N19" s="57" t="s">
        <v>324</v>
      </c>
      <c r="O19" s="57" t="s">
        <v>325</v>
      </c>
      <c r="P19" s="57" t="s">
        <v>326</v>
      </c>
      <c r="Q19" s="57" t="s">
        <v>327</v>
      </c>
      <c r="R19" s="58">
        <v>50</v>
      </c>
      <c r="S19" s="59" t="s">
        <v>328</v>
      </c>
    </row>
    <row r="20" s="36" customFormat="1" ht="30" customHeight="1" spans="1:19">
      <c r="A20" s="44" t="s">
        <v>303</v>
      </c>
      <c r="B20" s="45" t="s">
        <v>304</v>
      </c>
      <c r="C20" s="45"/>
      <c r="D20" s="45" t="s">
        <v>329</v>
      </c>
      <c r="E20" s="45" t="s">
        <v>265</v>
      </c>
      <c r="F20" s="45" t="s">
        <v>329</v>
      </c>
      <c r="G20" s="45" t="s">
        <v>267</v>
      </c>
      <c r="H20" s="47">
        <v>0.31</v>
      </c>
      <c r="I20" s="47"/>
      <c r="J20" s="47"/>
      <c r="K20" s="47"/>
      <c r="L20" s="47">
        <v>0.31</v>
      </c>
      <c r="M20" s="56" t="s">
        <v>330</v>
      </c>
      <c r="N20" s="57" t="s">
        <v>331</v>
      </c>
      <c r="O20" s="57" t="s">
        <v>277</v>
      </c>
      <c r="P20" s="57" t="s">
        <v>278</v>
      </c>
      <c r="Q20" s="57" t="s">
        <v>332</v>
      </c>
      <c r="R20" s="58">
        <v>11.373522</v>
      </c>
      <c r="S20" s="59" t="s">
        <v>328</v>
      </c>
    </row>
    <row r="21" s="36" customFormat="1" ht="30" customHeight="1" spans="1:20">
      <c r="A21" s="44" t="s">
        <v>303</v>
      </c>
      <c r="B21" s="45" t="s">
        <v>304</v>
      </c>
      <c r="C21" s="45"/>
      <c r="D21" s="45" t="s">
        <v>333</v>
      </c>
      <c r="E21" s="45" t="s">
        <v>265</v>
      </c>
      <c r="F21" s="45" t="s">
        <v>334</v>
      </c>
      <c r="G21" s="45" t="s">
        <v>267</v>
      </c>
      <c r="H21" s="47">
        <v>13.21021</v>
      </c>
      <c r="I21" s="47"/>
      <c r="J21" s="47"/>
      <c r="K21" s="47"/>
      <c r="L21" s="47">
        <v>13.21021</v>
      </c>
      <c r="M21" s="56" t="s">
        <v>335</v>
      </c>
      <c r="N21" s="57" t="s">
        <v>336</v>
      </c>
      <c r="O21" s="57" t="s">
        <v>277</v>
      </c>
      <c r="P21" s="57" t="s">
        <v>278</v>
      </c>
      <c r="Q21" s="57" t="s">
        <v>337</v>
      </c>
      <c r="R21" s="58">
        <v>7.30204</v>
      </c>
      <c r="S21" s="59" t="s">
        <v>328</v>
      </c>
      <c r="T21" s="36" t="s">
        <v>338</v>
      </c>
    </row>
    <row r="22" s="36" customFormat="1" ht="30" customHeight="1" spans="1:19">
      <c r="A22" s="44" t="s">
        <v>303</v>
      </c>
      <c r="B22" s="45" t="s">
        <v>304</v>
      </c>
      <c r="C22" s="45"/>
      <c r="D22" s="45" t="s">
        <v>339</v>
      </c>
      <c r="E22" s="45" t="s">
        <v>265</v>
      </c>
      <c r="F22" s="45" t="s">
        <v>340</v>
      </c>
      <c r="G22" s="45" t="s">
        <v>267</v>
      </c>
      <c r="H22" s="47">
        <v>24.91</v>
      </c>
      <c r="I22" s="47"/>
      <c r="J22" s="47"/>
      <c r="K22" s="47"/>
      <c r="L22" s="47">
        <v>24.91</v>
      </c>
      <c r="M22" s="56" t="s">
        <v>341</v>
      </c>
      <c r="N22" s="57" t="s">
        <v>342</v>
      </c>
      <c r="O22" s="57" t="s">
        <v>277</v>
      </c>
      <c r="P22" s="57" t="s">
        <v>278</v>
      </c>
      <c r="Q22" s="57" t="s">
        <v>343</v>
      </c>
      <c r="R22" s="58">
        <v>285.79</v>
      </c>
      <c r="S22" s="59" t="s">
        <v>328</v>
      </c>
    </row>
    <row r="23" s="36" customFormat="1" ht="30" customHeight="1" spans="1:19">
      <c r="A23" s="44" t="s">
        <v>303</v>
      </c>
      <c r="B23" s="45" t="s">
        <v>304</v>
      </c>
      <c r="C23" s="45"/>
      <c r="D23" s="45" t="s">
        <v>344</v>
      </c>
      <c r="E23" s="45" t="s">
        <v>265</v>
      </c>
      <c r="F23" s="45" t="s">
        <v>344</v>
      </c>
      <c r="G23" s="45" t="s">
        <v>267</v>
      </c>
      <c r="H23" s="47">
        <v>2</v>
      </c>
      <c r="I23" s="47"/>
      <c r="J23" s="47"/>
      <c r="K23" s="47"/>
      <c r="L23" s="47">
        <v>2</v>
      </c>
      <c r="M23" s="56" t="s">
        <v>345</v>
      </c>
      <c r="N23" s="57" t="s">
        <v>346</v>
      </c>
      <c r="O23" s="57" t="s">
        <v>277</v>
      </c>
      <c r="P23" s="57" t="s">
        <v>278</v>
      </c>
      <c r="Q23" s="57" t="s">
        <v>347</v>
      </c>
      <c r="R23" s="58">
        <v>39.79</v>
      </c>
      <c r="S23" s="59" t="s">
        <v>328</v>
      </c>
    </row>
    <row r="24" s="36" customFormat="1" ht="30" customHeight="1" spans="1:19">
      <c r="A24" s="44" t="s">
        <v>348</v>
      </c>
      <c r="B24" s="45" t="s">
        <v>349</v>
      </c>
      <c r="C24" s="45"/>
      <c r="D24" s="45" t="s">
        <v>350</v>
      </c>
      <c r="E24" s="45" t="s">
        <v>265</v>
      </c>
      <c r="F24" s="45" t="s">
        <v>351</v>
      </c>
      <c r="G24" s="45" t="s">
        <v>267</v>
      </c>
      <c r="H24" s="47">
        <v>117.89</v>
      </c>
      <c r="I24" s="47"/>
      <c r="J24" s="47">
        <v>99.721243</v>
      </c>
      <c r="K24" s="47"/>
      <c r="L24" s="47">
        <f>H24-J24</f>
        <v>18.168757</v>
      </c>
      <c r="M24" s="56" t="s">
        <v>352</v>
      </c>
      <c r="N24" s="57" t="s">
        <v>353</v>
      </c>
      <c r="O24" s="57" t="s">
        <v>277</v>
      </c>
      <c r="P24" s="57" t="s">
        <v>278</v>
      </c>
      <c r="Q24" s="57" t="s">
        <v>354</v>
      </c>
      <c r="R24" s="58">
        <v>4.31</v>
      </c>
      <c r="S24" s="59" t="s">
        <v>328</v>
      </c>
    </row>
    <row r="25" s="36" customFormat="1" ht="30" customHeight="1" spans="1:19">
      <c r="A25" s="44" t="s">
        <v>348</v>
      </c>
      <c r="B25" s="45" t="s">
        <v>349</v>
      </c>
      <c r="C25" s="45"/>
      <c r="D25" s="45" t="s">
        <v>355</v>
      </c>
      <c r="E25" s="45" t="s">
        <v>265</v>
      </c>
      <c r="F25" s="45" t="s">
        <v>351</v>
      </c>
      <c r="G25" s="45" t="s">
        <v>267</v>
      </c>
      <c r="H25" s="47">
        <v>39.12</v>
      </c>
      <c r="I25" s="47"/>
      <c r="J25" s="47"/>
      <c r="K25" s="47"/>
      <c r="L25" s="47">
        <v>39.12</v>
      </c>
      <c r="M25" s="56" t="s">
        <v>356</v>
      </c>
      <c r="N25" s="57" t="s">
        <v>357</v>
      </c>
      <c r="O25" s="57" t="s">
        <v>311</v>
      </c>
      <c r="P25" s="57" t="s">
        <v>278</v>
      </c>
      <c r="Q25" s="57" t="s">
        <v>358</v>
      </c>
      <c r="R25" s="58">
        <v>13.21021</v>
      </c>
      <c r="S25" s="59" t="s">
        <v>328</v>
      </c>
    </row>
    <row r="26" s="36" customFormat="1" ht="30" customHeight="1" spans="1:20">
      <c r="A26" s="44" t="s">
        <v>348</v>
      </c>
      <c r="B26" s="45" t="s">
        <v>349</v>
      </c>
      <c r="C26" s="45"/>
      <c r="D26" s="45" t="s">
        <v>359</v>
      </c>
      <c r="E26" s="45" t="s">
        <v>265</v>
      </c>
      <c r="F26" s="45" t="s">
        <v>351</v>
      </c>
      <c r="G26" s="45" t="s">
        <v>267</v>
      </c>
      <c r="H26" s="47">
        <v>90</v>
      </c>
      <c r="I26" s="47"/>
      <c r="J26" s="47"/>
      <c r="K26" s="47"/>
      <c r="L26" s="47">
        <v>90</v>
      </c>
      <c r="M26" s="56" t="s">
        <v>360</v>
      </c>
      <c r="N26" s="57" t="s">
        <v>361</v>
      </c>
      <c r="O26" s="57" t="s">
        <v>277</v>
      </c>
      <c r="P26" s="57" t="s">
        <v>278</v>
      </c>
      <c r="Q26" s="57" t="s">
        <v>354</v>
      </c>
      <c r="R26" s="58">
        <v>24.91</v>
      </c>
      <c r="S26" s="59" t="s">
        <v>328</v>
      </c>
      <c r="T26" s="36" t="s">
        <v>338</v>
      </c>
    </row>
    <row r="27" s="36" customFormat="1" ht="30" customHeight="1" spans="1:19">
      <c r="A27" s="44" t="s">
        <v>348</v>
      </c>
      <c r="B27" s="45" t="s">
        <v>349</v>
      </c>
      <c r="C27" s="45"/>
      <c r="D27" s="45" t="s">
        <v>362</v>
      </c>
      <c r="E27" s="45" t="s">
        <v>265</v>
      </c>
      <c r="F27" s="45" t="s">
        <v>363</v>
      </c>
      <c r="G27" s="45" t="s">
        <v>267</v>
      </c>
      <c r="H27" s="47">
        <v>167.45</v>
      </c>
      <c r="I27" s="47"/>
      <c r="J27" s="47">
        <v>37</v>
      </c>
      <c r="K27" s="47"/>
      <c r="L27" s="47">
        <f>H27-J27</f>
        <v>130.45</v>
      </c>
      <c r="M27" s="56" t="s">
        <v>364</v>
      </c>
      <c r="N27" s="57" t="s">
        <v>365</v>
      </c>
      <c r="O27" s="57" t="s">
        <v>277</v>
      </c>
      <c r="P27" s="57" t="s">
        <v>278</v>
      </c>
      <c r="Q27" s="57" t="s">
        <v>366</v>
      </c>
      <c r="R27" s="58">
        <v>2</v>
      </c>
      <c r="S27" s="59" t="s">
        <v>328</v>
      </c>
    </row>
    <row r="28" s="36" customFormat="1" ht="30" customHeight="1" spans="1:20">
      <c r="A28" s="44" t="s">
        <v>348</v>
      </c>
      <c r="B28" s="45" t="s">
        <v>349</v>
      </c>
      <c r="C28" s="45"/>
      <c r="D28" s="45" t="s">
        <v>367</v>
      </c>
      <c r="E28" s="45" t="s">
        <v>265</v>
      </c>
      <c r="F28" s="45" t="s">
        <v>351</v>
      </c>
      <c r="G28" s="45" t="s">
        <v>267</v>
      </c>
      <c r="H28" s="47">
        <v>3.7</v>
      </c>
      <c r="I28" s="47"/>
      <c r="J28" s="47"/>
      <c r="K28" s="47"/>
      <c r="L28" s="47">
        <v>3.7</v>
      </c>
      <c r="M28" s="56" t="s">
        <v>368</v>
      </c>
      <c r="N28" s="57" t="s">
        <v>369</v>
      </c>
      <c r="O28" s="57" t="s">
        <v>277</v>
      </c>
      <c r="P28" s="57" t="s">
        <v>312</v>
      </c>
      <c r="Q28" s="57" t="s">
        <v>370</v>
      </c>
      <c r="R28" s="58">
        <v>140.89</v>
      </c>
      <c r="S28" s="59" t="s">
        <v>371</v>
      </c>
      <c r="T28" s="36" t="s">
        <v>338</v>
      </c>
    </row>
    <row r="29" s="36" customFormat="1" ht="30" customHeight="1" spans="1:20">
      <c r="A29" s="44" t="s">
        <v>372</v>
      </c>
      <c r="B29" s="45" t="s">
        <v>373</v>
      </c>
      <c r="C29" s="45"/>
      <c r="D29" s="45" t="s">
        <v>374</v>
      </c>
      <c r="E29" s="45" t="s">
        <v>265</v>
      </c>
      <c r="F29" s="45" t="s">
        <v>374</v>
      </c>
      <c r="G29" s="45" t="s">
        <v>267</v>
      </c>
      <c r="H29" s="47">
        <v>20</v>
      </c>
      <c r="I29" s="47"/>
      <c r="J29" s="47"/>
      <c r="K29" s="47"/>
      <c r="L29" s="47">
        <v>20</v>
      </c>
      <c r="M29" s="56" t="s">
        <v>323</v>
      </c>
      <c r="N29" s="57" t="s">
        <v>369</v>
      </c>
      <c r="O29" s="57" t="s">
        <v>277</v>
      </c>
      <c r="P29" s="57" t="s">
        <v>312</v>
      </c>
      <c r="Q29" s="57" t="s">
        <v>375</v>
      </c>
      <c r="R29" s="58">
        <v>39.12</v>
      </c>
      <c r="S29" s="59" t="s">
        <v>371</v>
      </c>
      <c r="T29" s="36" t="s">
        <v>338</v>
      </c>
    </row>
    <row r="30" s="36" customFormat="1" ht="30" customHeight="1" spans="1:20">
      <c r="A30" s="44" t="s">
        <v>372</v>
      </c>
      <c r="B30" s="45" t="s">
        <v>373</v>
      </c>
      <c r="C30" s="45"/>
      <c r="D30" s="45" t="s">
        <v>376</v>
      </c>
      <c r="E30" s="45" t="s">
        <v>265</v>
      </c>
      <c r="F30" s="45" t="s">
        <v>376</v>
      </c>
      <c r="G30" s="45" t="s">
        <v>267</v>
      </c>
      <c r="H30" s="47">
        <v>18.5</v>
      </c>
      <c r="I30" s="47"/>
      <c r="J30" s="47"/>
      <c r="K30" s="47"/>
      <c r="L30" s="47">
        <v>18.5</v>
      </c>
      <c r="M30" s="56" t="s">
        <v>377</v>
      </c>
      <c r="N30" s="57" t="s">
        <v>369</v>
      </c>
      <c r="O30" s="57" t="s">
        <v>311</v>
      </c>
      <c r="P30" s="57" t="s">
        <v>312</v>
      </c>
      <c r="Q30" s="57" t="s">
        <v>378</v>
      </c>
      <c r="R30" s="58">
        <v>90</v>
      </c>
      <c r="S30" s="59" t="s">
        <v>371</v>
      </c>
      <c r="T30" s="36" t="s">
        <v>338</v>
      </c>
    </row>
    <row r="31" s="36" customFormat="1" ht="30" customHeight="1" spans="1:20">
      <c r="A31" s="44" t="s">
        <v>372</v>
      </c>
      <c r="B31" s="45" t="s">
        <v>373</v>
      </c>
      <c r="C31" s="45"/>
      <c r="D31" s="45" t="s">
        <v>379</v>
      </c>
      <c r="E31" s="45" t="s">
        <v>265</v>
      </c>
      <c r="F31" s="45" t="s">
        <v>379</v>
      </c>
      <c r="G31" s="45" t="s">
        <v>267</v>
      </c>
      <c r="H31" s="47">
        <v>2.9772</v>
      </c>
      <c r="I31" s="47"/>
      <c r="J31" s="47"/>
      <c r="K31" s="47"/>
      <c r="L31" s="47">
        <v>2.9772</v>
      </c>
      <c r="M31" s="56" t="s">
        <v>380</v>
      </c>
      <c r="N31" s="57" t="s">
        <v>381</v>
      </c>
      <c r="O31" s="57" t="s">
        <v>277</v>
      </c>
      <c r="P31" s="57" t="s">
        <v>312</v>
      </c>
      <c r="Q31" s="57" t="s">
        <v>382</v>
      </c>
      <c r="R31" s="58">
        <v>187.45</v>
      </c>
      <c r="S31" s="59" t="s">
        <v>371</v>
      </c>
      <c r="T31" s="36" t="s">
        <v>338</v>
      </c>
    </row>
    <row r="32" s="36" customFormat="1" ht="30" customHeight="1" spans="1:19">
      <c r="A32" s="44" t="s">
        <v>383</v>
      </c>
      <c r="B32" s="45" t="s">
        <v>384</v>
      </c>
      <c r="C32" s="45"/>
      <c r="D32" s="45" t="s">
        <v>385</v>
      </c>
      <c r="E32" s="45" t="s">
        <v>265</v>
      </c>
      <c r="F32" s="45" t="s">
        <v>385</v>
      </c>
      <c r="G32" s="45" t="s">
        <v>267</v>
      </c>
      <c r="H32" s="47">
        <v>813.39</v>
      </c>
      <c r="I32" s="47"/>
      <c r="J32" s="47">
        <v>37</v>
      </c>
      <c r="K32" s="47"/>
      <c r="L32" s="47">
        <f>H32-J32</f>
        <v>776.39</v>
      </c>
      <c r="M32" s="56" t="s">
        <v>386</v>
      </c>
      <c r="N32" s="57" t="s">
        <v>369</v>
      </c>
      <c r="O32" s="57" t="s">
        <v>311</v>
      </c>
      <c r="P32" s="57" t="s">
        <v>312</v>
      </c>
      <c r="Q32" s="57" t="s">
        <v>387</v>
      </c>
      <c r="R32" s="58">
        <v>3.7</v>
      </c>
      <c r="S32" s="59" t="s">
        <v>371</v>
      </c>
    </row>
    <row r="33" s="36" customFormat="1" ht="30" customHeight="1" spans="1:19">
      <c r="A33" s="44" t="s">
        <v>383</v>
      </c>
      <c r="B33" s="45" t="s">
        <v>384</v>
      </c>
      <c r="C33" s="45"/>
      <c r="D33" s="45" t="s">
        <v>388</v>
      </c>
      <c r="E33" s="45" t="s">
        <v>265</v>
      </c>
      <c r="F33" s="45" t="s">
        <v>388</v>
      </c>
      <c r="G33" s="45" t="s">
        <v>267</v>
      </c>
      <c r="H33" s="47">
        <v>35.02</v>
      </c>
      <c r="I33" s="47"/>
      <c r="J33" s="47">
        <v>4</v>
      </c>
      <c r="K33" s="47"/>
      <c r="L33" s="47">
        <f>H33-J33</f>
        <v>31.02</v>
      </c>
      <c r="M33" s="56" t="s">
        <v>368</v>
      </c>
      <c r="N33" s="57" t="s">
        <v>389</v>
      </c>
      <c r="O33" s="57" t="s">
        <v>325</v>
      </c>
      <c r="P33" s="57" t="s">
        <v>326</v>
      </c>
      <c r="Q33" s="57" t="s">
        <v>390</v>
      </c>
      <c r="R33" s="58">
        <v>20</v>
      </c>
      <c r="S33" s="59" t="s">
        <v>391</v>
      </c>
    </row>
    <row r="34" s="36" customFormat="1" ht="30" hidden="1" customHeight="1" spans="1:19">
      <c r="A34" s="44" t="s">
        <v>383</v>
      </c>
      <c r="B34" s="45" t="s">
        <v>384</v>
      </c>
      <c r="C34" s="45"/>
      <c r="D34" s="45" t="s">
        <v>392</v>
      </c>
      <c r="E34" s="45" t="s">
        <v>294</v>
      </c>
      <c r="F34" s="45" t="s">
        <v>393</v>
      </c>
      <c r="G34" s="45" t="s">
        <v>394</v>
      </c>
      <c r="H34" s="47">
        <v>0</v>
      </c>
      <c r="I34" s="47"/>
      <c r="J34" s="47"/>
      <c r="K34" s="47"/>
      <c r="L34" s="47"/>
      <c r="M34" s="56" t="s">
        <v>368</v>
      </c>
      <c r="N34" s="57" t="s">
        <v>395</v>
      </c>
      <c r="O34" s="57" t="s">
        <v>325</v>
      </c>
      <c r="P34" s="57" t="s">
        <v>326</v>
      </c>
      <c r="Q34" s="57" t="s">
        <v>390</v>
      </c>
      <c r="R34" s="58">
        <v>18.5</v>
      </c>
      <c r="S34" s="59" t="s">
        <v>391</v>
      </c>
    </row>
    <row r="35" s="36" customFormat="1" ht="30" hidden="1" customHeight="1" spans="1:19">
      <c r="A35" s="44" t="s">
        <v>396</v>
      </c>
      <c r="B35" s="45" t="s">
        <v>397</v>
      </c>
      <c r="C35" s="45"/>
      <c r="D35" s="45" t="s">
        <v>398</v>
      </c>
      <c r="E35" s="45" t="s">
        <v>265</v>
      </c>
      <c r="F35" s="45" t="s">
        <v>398</v>
      </c>
      <c r="G35" s="45" t="s">
        <v>267</v>
      </c>
      <c r="H35" s="47">
        <v>0</v>
      </c>
      <c r="I35" s="47"/>
      <c r="J35" s="47"/>
      <c r="K35" s="47"/>
      <c r="L35" s="47"/>
      <c r="M35" s="56" t="s">
        <v>275</v>
      </c>
      <c r="N35" s="57" t="s">
        <v>399</v>
      </c>
      <c r="O35" s="57" t="s">
        <v>311</v>
      </c>
      <c r="P35" s="57" t="s">
        <v>278</v>
      </c>
      <c r="Q35" s="57" t="s">
        <v>400</v>
      </c>
      <c r="R35" s="58">
        <v>8.09</v>
      </c>
      <c r="S35" s="59" t="s">
        <v>391</v>
      </c>
    </row>
    <row r="36" s="36" customFormat="1" ht="30" hidden="1" customHeight="1" spans="1:19">
      <c r="A36" s="44" t="s">
        <v>396</v>
      </c>
      <c r="B36" s="45" t="s">
        <v>397</v>
      </c>
      <c r="C36" s="45"/>
      <c r="D36" s="45" t="s">
        <v>401</v>
      </c>
      <c r="E36" s="45" t="s">
        <v>265</v>
      </c>
      <c r="F36" s="45" t="s">
        <v>393</v>
      </c>
      <c r="G36" s="45" t="s">
        <v>267</v>
      </c>
      <c r="H36" s="47">
        <v>0</v>
      </c>
      <c r="I36" s="47"/>
      <c r="J36" s="47"/>
      <c r="K36" s="47"/>
      <c r="L36" s="47"/>
      <c r="M36" s="56" t="s">
        <v>275</v>
      </c>
      <c r="N36" s="57" t="s">
        <v>402</v>
      </c>
      <c r="O36" s="57" t="s">
        <v>277</v>
      </c>
      <c r="P36" s="57" t="s">
        <v>278</v>
      </c>
      <c r="Q36" s="57" t="s">
        <v>403</v>
      </c>
      <c r="R36" s="58">
        <v>3512.372087</v>
      </c>
      <c r="S36" s="59" t="s">
        <v>404</v>
      </c>
    </row>
    <row r="37" s="36" customFormat="1" ht="30" customHeight="1" spans="1:19">
      <c r="A37" s="44" t="s">
        <v>396</v>
      </c>
      <c r="B37" s="45" t="s">
        <v>397</v>
      </c>
      <c r="C37" s="45"/>
      <c r="D37" s="45" t="s">
        <v>405</v>
      </c>
      <c r="E37" s="45" t="s">
        <v>265</v>
      </c>
      <c r="F37" s="45" t="s">
        <v>405</v>
      </c>
      <c r="G37" s="45" t="s">
        <v>267</v>
      </c>
      <c r="H37" s="47">
        <v>22.79</v>
      </c>
      <c r="I37" s="47"/>
      <c r="J37" s="47">
        <v>22.79</v>
      </c>
      <c r="K37" s="47"/>
      <c r="L37" s="47">
        <f>H37-J37</f>
        <v>0</v>
      </c>
      <c r="M37" s="56" t="s">
        <v>275</v>
      </c>
      <c r="N37" s="57" t="s">
        <v>406</v>
      </c>
      <c r="O37" s="57" t="s">
        <v>277</v>
      </c>
      <c r="P37" s="57" t="s">
        <v>278</v>
      </c>
      <c r="Q37" s="57" t="s">
        <v>407</v>
      </c>
      <c r="R37" s="58">
        <v>657.47</v>
      </c>
      <c r="S37" s="59" t="s">
        <v>404</v>
      </c>
    </row>
    <row r="38" s="36" customFormat="1" ht="30" customHeight="1" spans="1:19">
      <c r="A38" s="44" t="s">
        <v>396</v>
      </c>
      <c r="B38" s="45" t="s">
        <v>397</v>
      </c>
      <c r="C38" s="45"/>
      <c r="D38" s="45" t="s">
        <v>408</v>
      </c>
      <c r="E38" s="45" t="s">
        <v>265</v>
      </c>
      <c r="F38" s="45" t="s">
        <v>409</v>
      </c>
      <c r="G38" s="45" t="s">
        <v>267</v>
      </c>
      <c r="H38" s="47">
        <v>2.28</v>
      </c>
      <c r="I38" s="47"/>
      <c r="J38" s="47"/>
      <c r="K38" s="47"/>
      <c r="L38" s="47">
        <v>2.28</v>
      </c>
      <c r="M38" s="56" t="s">
        <v>275</v>
      </c>
      <c r="N38" s="57" t="s">
        <v>406</v>
      </c>
      <c r="O38" s="57" t="s">
        <v>277</v>
      </c>
      <c r="P38" s="57" t="s">
        <v>278</v>
      </c>
      <c r="Q38" s="57" t="s">
        <v>410</v>
      </c>
      <c r="R38" s="58">
        <v>5395.974</v>
      </c>
      <c r="S38" s="59" t="s">
        <v>404</v>
      </c>
    </row>
    <row r="39" s="36" customFormat="1" ht="30" customHeight="1" spans="1:19">
      <c r="A39" s="44" t="s">
        <v>396</v>
      </c>
      <c r="B39" s="45" t="s">
        <v>397</v>
      </c>
      <c r="C39" s="45"/>
      <c r="D39" s="45" t="s">
        <v>411</v>
      </c>
      <c r="E39" s="45" t="s">
        <v>265</v>
      </c>
      <c r="F39" s="45" t="s">
        <v>411</v>
      </c>
      <c r="G39" s="45" t="s">
        <v>267</v>
      </c>
      <c r="H39" s="47">
        <v>355.6</v>
      </c>
      <c r="I39" s="47"/>
      <c r="J39" s="47"/>
      <c r="K39" s="47"/>
      <c r="L39" s="47">
        <v>355.6</v>
      </c>
      <c r="M39" s="56" t="s">
        <v>275</v>
      </c>
      <c r="N39" s="57" t="s">
        <v>412</v>
      </c>
      <c r="O39" s="57" t="s">
        <v>277</v>
      </c>
      <c r="P39" s="57" t="s">
        <v>278</v>
      </c>
      <c r="Q39" s="57" t="s">
        <v>410</v>
      </c>
      <c r="R39" s="58">
        <v>635.564799</v>
      </c>
      <c r="S39" s="59" t="s">
        <v>404</v>
      </c>
    </row>
    <row r="40" s="36" customFormat="1" ht="30" customHeight="1" spans="1:19">
      <c r="A40" s="44" t="s">
        <v>396</v>
      </c>
      <c r="B40" s="45" t="s">
        <v>397</v>
      </c>
      <c r="C40" s="45"/>
      <c r="D40" s="45" t="s">
        <v>413</v>
      </c>
      <c r="E40" s="45" t="s">
        <v>265</v>
      </c>
      <c r="F40" s="45" t="s">
        <v>409</v>
      </c>
      <c r="G40" s="45" t="s">
        <v>267</v>
      </c>
      <c r="H40" s="47">
        <v>8.19</v>
      </c>
      <c r="I40" s="47"/>
      <c r="J40" s="47"/>
      <c r="K40" s="47"/>
      <c r="L40" s="47">
        <v>8.19</v>
      </c>
      <c r="M40" s="56" t="s">
        <v>275</v>
      </c>
      <c r="N40" s="57" t="s">
        <v>414</v>
      </c>
      <c r="O40" s="57" t="s">
        <v>277</v>
      </c>
      <c r="P40" s="57" t="s">
        <v>278</v>
      </c>
      <c r="Q40" s="57" t="s">
        <v>415</v>
      </c>
      <c r="R40" s="58">
        <v>24.91</v>
      </c>
      <c r="S40" s="59" t="s">
        <v>416</v>
      </c>
    </row>
    <row r="41" s="36" customFormat="1" ht="30" customHeight="1" spans="1:19">
      <c r="A41" s="44" t="s">
        <v>396</v>
      </c>
      <c r="B41" s="45" t="s">
        <v>397</v>
      </c>
      <c r="C41" s="45"/>
      <c r="D41" s="45" t="s">
        <v>417</v>
      </c>
      <c r="E41" s="45" t="s">
        <v>265</v>
      </c>
      <c r="F41" s="45" t="s">
        <v>409</v>
      </c>
      <c r="G41" s="45" t="s">
        <v>267</v>
      </c>
      <c r="H41" s="47">
        <v>92.94</v>
      </c>
      <c r="I41" s="47"/>
      <c r="J41" s="47"/>
      <c r="K41" s="47"/>
      <c r="L41" s="47">
        <v>92.94</v>
      </c>
      <c r="M41" s="56" t="s">
        <v>275</v>
      </c>
      <c r="N41" s="57" t="s">
        <v>418</v>
      </c>
      <c r="O41" s="57" t="s">
        <v>277</v>
      </c>
      <c r="P41" s="57" t="s">
        <v>278</v>
      </c>
      <c r="Q41" s="57" t="s">
        <v>419</v>
      </c>
      <c r="R41" s="58">
        <v>109.14</v>
      </c>
      <c r="S41" s="59" t="s">
        <v>416</v>
      </c>
    </row>
    <row r="42" s="36" customFormat="1" ht="30" customHeight="1" spans="1:19">
      <c r="A42" s="44" t="s">
        <v>396</v>
      </c>
      <c r="B42" s="45" t="s">
        <v>397</v>
      </c>
      <c r="C42" s="45"/>
      <c r="D42" s="45" t="s">
        <v>420</v>
      </c>
      <c r="E42" s="45" t="s">
        <v>265</v>
      </c>
      <c r="F42" s="45" t="s">
        <v>409</v>
      </c>
      <c r="G42" s="45" t="s">
        <v>267</v>
      </c>
      <c r="H42" s="47">
        <v>129.69</v>
      </c>
      <c r="I42" s="47"/>
      <c r="J42" s="47"/>
      <c r="K42" s="47"/>
      <c r="L42" s="47">
        <v>129.69</v>
      </c>
      <c r="M42" s="56" t="s">
        <v>275</v>
      </c>
      <c r="N42" s="57" t="s">
        <v>421</v>
      </c>
      <c r="O42" s="57" t="s">
        <v>277</v>
      </c>
      <c r="P42" s="57" t="s">
        <v>278</v>
      </c>
      <c r="Q42" s="57" t="s">
        <v>422</v>
      </c>
      <c r="R42" s="58">
        <v>62.8</v>
      </c>
      <c r="S42" s="59" t="s">
        <v>416</v>
      </c>
    </row>
    <row r="43" s="36" customFormat="1" ht="30" customHeight="1" spans="1:19">
      <c r="A43" s="44" t="s">
        <v>396</v>
      </c>
      <c r="B43" s="45" t="s">
        <v>397</v>
      </c>
      <c r="C43" s="45"/>
      <c r="D43" s="45" t="s">
        <v>423</v>
      </c>
      <c r="E43" s="45" t="s">
        <v>265</v>
      </c>
      <c r="F43" s="45" t="s">
        <v>409</v>
      </c>
      <c r="G43" s="45" t="s">
        <v>267</v>
      </c>
      <c r="H43" s="47">
        <v>14.08</v>
      </c>
      <c r="I43" s="47"/>
      <c r="J43" s="47"/>
      <c r="K43" s="47"/>
      <c r="L43" s="47">
        <v>14.08</v>
      </c>
      <c r="M43" s="56" t="s">
        <v>275</v>
      </c>
      <c r="N43" s="57" t="s">
        <v>424</v>
      </c>
      <c r="O43" s="57" t="s">
        <v>277</v>
      </c>
      <c r="P43" s="57" t="s">
        <v>278</v>
      </c>
      <c r="Q43" s="57" t="s">
        <v>425</v>
      </c>
      <c r="R43" s="58">
        <v>2.28</v>
      </c>
      <c r="S43" s="59" t="s">
        <v>416</v>
      </c>
    </row>
    <row r="44" s="36" customFormat="1" ht="30" customHeight="1" spans="1:19">
      <c r="A44" s="44" t="s">
        <v>396</v>
      </c>
      <c r="B44" s="45" t="s">
        <v>397</v>
      </c>
      <c r="C44" s="45"/>
      <c r="D44" s="45" t="s">
        <v>426</v>
      </c>
      <c r="E44" s="45" t="s">
        <v>265</v>
      </c>
      <c r="F44" s="45" t="s">
        <v>409</v>
      </c>
      <c r="G44" s="45" t="s">
        <v>267</v>
      </c>
      <c r="H44" s="47">
        <v>53.23</v>
      </c>
      <c r="I44" s="47"/>
      <c r="J44" s="47"/>
      <c r="K44" s="47"/>
      <c r="L44" s="47">
        <v>53.23</v>
      </c>
      <c r="M44" s="56" t="s">
        <v>275</v>
      </c>
      <c r="N44" s="57" t="s">
        <v>427</v>
      </c>
      <c r="O44" s="57" t="s">
        <v>277</v>
      </c>
      <c r="P44" s="57" t="s">
        <v>278</v>
      </c>
      <c r="Q44" s="57" t="s">
        <v>428</v>
      </c>
      <c r="R44" s="58">
        <v>355.6</v>
      </c>
      <c r="S44" s="59" t="s">
        <v>416</v>
      </c>
    </row>
    <row r="45" s="36" customFormat="1" ht="30" customHeight="1" spans="1:19">
      <c r="A45" s="44" t="s">
        <v>396</v>
      </c>
      <c r="B45" s="45" t="s">
        <v>397</v>
      </c>
      <c r="C45" s="45"/>
      <c r="D45" s="45" t="s">
        <v>423</v>
      </c>
      <c r="E45" s="45" t="s">
        <v>265</v>
      </c>
      <c r="F45" s="45" t="s">
        <v>409</v>
      </c>
      <c r="G45" s="45" t="s">
        <v>267</v>
      </c>
      <c r="H45" s="47">
        <v>19.1</v>
      </c>
      <c r="I45" s="47"/>
      <c r="J45" s="47"/>
      <c r="K45" s="47"/>
      <c r="L45" s="47">
        <v>19.1</v>
      </c>
      <c r="M45" s="56" t="s">
        <v>275</v>
      </c>
      <c r="N45" s="57" t="s">
        <v>424</v>
      </c>
      <c r="O45" s="57" t="s">
        <v>277</v>
      </c>
      <c r="P45" s="57" t="s">
        <v>278</v>
      </c>
      <c r="Q45" s="57" t="s">
        <v>429</v>
      </c>
      <c r="R45" s="58">
        <v>8.19</v>
      </c>
      <c r="S45" s="59" t="s">
        <v>416</v>
      </c>
    </row>
    <row r="46" s="36" customFormat="1" ht="30" customHeight="1" spans="1:19">
      <c r="A46" s="44" t="s">
        <v>396</v>
      </c>
      <c r="B46" s="45" t="s">
        <v>397</v>
      </c>
      <c r="C46" s="45"/>
      <c r="D46" s="45" t="s">
        <v>430</v>
      </c>
      <c r="E46" s="45" t="s">
        <v>265</v>
      </c>
      <c r="F46" s="45" t="s">
        <v>430</v>
      </c>
      <c r="G46" s="45" t="s">
        <v>267</v>
      </c>
      <c r="H46" s="47">
        <v>53.72</v>
      </c>
      <c r="I46" s="47"/>
      <c r="J46" s="47"/>
      <c r="K46" s="47"/>
      <c r="L46" s="47">
        <v>53.72</v>
      </c>
      <c r="M46" s="56" t="s">
        <v>275</v>
      </c>
      <c r="N46" s="57" t="s">
        <v>424</v>
      </c>
      <c r="O46" s="57" t="s">
        <v>277</v>
      </c>
      <c r="P46" s="57" t="s">
        <v>278</v>
      </c>
      <c r="Q46" s="57" t="s">
        <v>431</v>
      </c>
      <c r="R46" s="58">
        <v>92.94</v>
      </c>
      <c r="S46" s="59" t="s">
        <v>416</v>
      </c>
    </row>
    <row r="47" s="36" customFormat="1" ht="30" customHeight="1" spans="1:19">
      <c r="A47" s="44" t="s">
        <v>396</v>
      </c>
      <c r="B47" s="45" t="s">
        <v>397</v>
      </c>
      <c r="C47" s="45"/>
      <c r="D47" s="45" t="s">
        <v>432</v>
      </c>
      <c r="E47" s="45" t="s">
        <v>265</v>
      </c>
      <c r="F47" s="45" t="s">
        <v>433</v>
      </c>
      <c r="G47" s="45" t="s">
        <v>267</v>
      </c>
      <c r="H47" s="47">
        <v>17.41</v>
      </c>
      <c r="I47" s="47"/>
      <c r="J47" s="47"/>
      <c r="K47" s="47"/>
      <c r="L47" s="47">
        <v>17.41</v>
      </c>
      <c r="M47" s="56" t="s">
        <v>275</v>
      </c>
      <c r="N47" s="57" t="s">
        <v>424</v>
      </c>
      <c r="O47" s="57" t="s">
        <v>277</v>
      </c>
      <c r="P47" s="57" t="s">
        <v>278</v>
      </c>
      <c r="Q47" s="57" t="s">
        <v>434</v>
      </c>
      <c r="R47" s="58">
        <v>129.69</v>
      </c>
      <c r="S47" s="59" t="s">
        <v>416</v>
      </c>
    </row>
    <row r="48" s="36" customFormat="1" ht="30" customHeight="1" spans="1:19">
      <c r="A48" s="44" t="s">
        <v>396</v>
      </c>
      <c r="B48" s="45" t="s">
        <v>397</v>
      </c>
      <c r="C48" s="45"/>
      <c r="D48" s="45" t="s">
        <v>435</v>
      </c>
      <c r="E48" s="45" t="s">
        <v>294</v>
      </c>
      <c r="F48" s="45" t="s">
        <v>435</v>
      </c>
      <c r="G48" s="45" t="s">
        <v>296</v>
      </c>
      <c r="H48" s="47">
        <v>79.68</v>
      </c>
      <c r="I48" s="47"/>
      <c r="J48" s="47"/>
      <c r="K48" s="47"/>
      <c r="L48" s="47">
        <v>79.68</v>
      </c>
      <c r="M48" s="56" t="s">
        <v>275</v>
      </c>
      <c r="N48" s="57" t="s">
        <v>424</v>
      </c>
      <c r="O48" s="57" t="s">
        <v>277</v>
      </c>
      <c r="P48" s="57" t="s">
        <v>278</v>
      </c>
      <c r="Q48" s="57" t="s">
        <v>436</v>
      </c>
      <c r="R48" s="58">
        <v>14.08</v>
      </c>
      <c r="S48" s="59" t="s">
        <v>416</v>
      </c>
    </row>
    <row r="49" s="36" customFormat="1" ht="30" customHeight="1" spans="1:19">
      <c r="A49" s="44" t="s">
        <v>437</v>
      </c>
      <c r="B49" s="45" t="s">
        <v>438</v>
      </c>
      <c r="C49" s="45"/>
      <c r="D49" s="45" t="s">
        <v>299</v>
      </c>
      <c r="E49" s="45" t="s">
        <v>265</v>
      </c>
      <c r="F49" s="45" t="s">
        <v>299</v>
      </c>
      <c r="G49" s="45" t="s">
        <v>267</v>
      </c>
      <c r="H49" s="47">
        <v>104.52</v>
      </c>
      <c r="I49" s="47"/>
      <c r="J49" s="47"/>
      <c r="K49" s="47"/>
      <c r="L49" s="47">
        <v>104.52</v>
      </c>
      <c r="M49" s="56" t="s">
        <v>275</v>
      </c>
      <c r="N49" s="57" t="s">
        <v>424</v>
      </c>
      <c r="O49" s="57" t="s">
        <v>277</v>
      </c>
      <c r="P49" s="57" t="s">
        <v>278</v>
      </c>
      <c r="Q49" s="57" t="s">
        <v>439</v>
      </c>
      <c r="R49" s="58">
        <v>53.23</v>
      </c>
      <c r="S49" s="59" t="s">
        <v>416</v>
      </c>
    </row>
    <row r="50" s="36" customFormat="1" ht="30" customHeight="1" spans="1:19">
      <c r="A50" s="44" t="s">
        <v>437</v>
      </c>
      <c r="B50" s="45" t="s">
        <v>438</v>
      </c>
      <c r="C50" s="45"/>
      <c r="D50" s="45" t="s">
        <v>440</v>
      </c>
      <c r="E50" s="45" t="s">
        <v>294</v>
      </c>
      <c r="F50" s="45" t="s">
        <v>440</v>
      </c>
      <c r="G50" s="45" t="s">
        <v>394</v>
      </c>
      <c r="H50" s="47">
        <v>50</v>
      </c>
      <c r="I50" s="47"/>
      <c r="J50" s="47"/>
      <c r="K50" s="47"/>
      <c r="L50" s="47">
        <v>50</v>
      </c>
      <c r="M50" s="56" t="s">
        <v>275</v>
      </c>
      <c r="N50" s="57" t="s">
        <v>424</v>
      </c>
      <c r="O50" s="57" t="s">
        <v>277</v>
      </c>
      <c r="P50" s="57" t="s">
        <v>278</v>
      </c>
      <c r="Q50" s="57" t="s">
        <v>441</v>
      </c>
      <c r="R50" s="58">
        <v>19.1</v>
      </c>
      <c r="S50" s="59" t="s">
        <v>416</v>
      </c>
    </row>
    <row r="51" s="36" customFormat="1" ht="30" customHeight="1" spans="1:19">
      <c r="A51" s="44" t="s">
        <v>442</v>
      </c>
      <c r="B51" s="45" t="s">
        <v>443</v>
      </c>
      <c r="C51" s="45"/>
      <c r="D51" s="45" t="s">
        <v>444</v>
      </c>
      <c r="E51" s="45" t="s">
        <v>265</v>
      </c>
      <c r="F51" s="45" t="s">
        <v>444</v>
      </c>
      <c r="G51" s="45" t="s">
        <v>267</v>
      </c>
      <c r="H51" s="47">
        <v>52.0237</v>
      </c>
      <c r="I51" s="47"/>
      <c r="J51" s="47"/>
      <c r="K51" s="47"/>
      <c r="L51" s="47">
        <v>52.0237</v>
      </c>
      <c r="M51" s="56" t="s">
        <v>275</v>
      </c>
      <c r="N51" s="57" t="s">
        <v>445</v>
      </c>
      <c r="O51" s="57" t="s">
        <v>277</v>
      </c>
      <c r="P51" s="57" t="s">
        <v>312</v>
      </c>
      <c r="Q51" s="57" t="s">
        <v>446</v>
      </c>
      <c r="R51" s="58">
        <v>53.72</v>
      </c>
      <c r="S51" s="59" t="s">
        <v>416</v>
      </c>
    </row>
    <row r="52" s="36" customFormat="1" ht="24.95" hidden="1" customHeight="1" spans="1:19">
      <c r="A52" s="44" t="s">
        <v>447</v>
      </c>
      <c r="B52" s="45" t="s">
        <v>448</v>
      </c>
      <c r="C52" s="45"/>
      <c r="D52" s="45" t="s">
        <v>449</v>
      </c>
      <c r="E52" s="45" t="s">
        <v>265</v>
      </c>
      <c r="F52" s="45" t="s">
        <v>450</v>
      </c>
      <c r="G52" s="45" t="s">
        <v>267</v>
      </c>
      <c r="H52" s="47">
        <v>0</v>
      </c>
      <c r="I52" s="47"/>
      <c r="J52" s="47"/>
      <c r="K52" s="47"/>
      <c r="L52" s="47"/>
      <c r="M52" s="56" t="s">
        <v>275</v>
      </c>
      <c r="N52" s="57" t="s">
        <v>451</v>
      </c>
      <c r="O52" s="57" t="s">
        <v>277</v>
      </c>
      <c r="P52" s="57" t="s">
        <v>312</v>
      </c>
      <c r="Q52" s="57" t="s">
        <v>452</v>
      </c>
      <c r="R52" s="58">
        <v>17.41</v>
      </c>
      <c r="S52" s="59" t="s">
        <v>416</v>
      </c>
    </row>
    <row r="53" s="36" customFormat="1" ht="24.95" hidden="1" customHeight="1" spans="1:19">
      <c r="A53" s="44" t="s">
        <v>453</v>
      </c>
      <c r="B53" s="45" t="s">
        <v>454</v>
      </c>
      <c r="C53" s="45"/>
      <c r="D53" s="45" t="s">
        <v>455</v>
      </c>
      <c r="E53" s="45" t="s">
        <v>265</v>
      </c>
      <c r="F53" s="45" t="s">
        <v>456</v>
      </c>
      <c r="G53" s="45" t="s">
        <v>267</v>
      </c>
      <c r="H53" s="47">
        <v>0</v>
      </c>
      <c r="I53" s="47"/>
      <c r="J53" s="47"/>
      <c r="K53" s="47"/>
      <c r="L53" s="47"/>
      <c r="M53" s="56" t="s">
        <v>275</v>
      </c>
      <c r="N53" s="57" t="s">
        <v>418</v>
      </c>
      <c r="O53" s="57" t="s">
        <v>277</v>
      </c>
      <c r="P53" s="57" t="s">
        <v>312</v>
      </c>
      <c r="Q53" s="57" t="s">
        <v>457</v>
      </c>
      <c r="R53" s="58">
        <v>79.68</v>
      </c>
      <c r="S53" s="59" t="s">
        <v>416</v>
      </c>
    </row>
    <row r="54" s="36" customFormat="1" ht="24.95" hidden="1" customHeight="1" spans="1:19">
      <c r="A54" s="44" t="s">
        <v>453</v>
      </c>
      <c r="B54" s="45" t="s">
        <v>454</v>
      </c>
      <c r="C54" s="45"/>
      <c r="D54" s="45" t="s">
        <v>458</v>
      </c>
      <c r="E54" s="45" t="s">
        <v>265</v>
      </c>
      <c r="F54" s="45" t="s">
        <v>459</v>
      </c>
      <c r="G54" s="45" t="s">
        <v>267</v>
      </c>
      <c r="H54" s="47">
        <v>0</v>
      </c>
      <c r="I54" s="47"/>
      <c r="J54" s="47"/>
      <c r="K54" s="47"/>
      <c r="L54" s="47"/>
      <c r="M54" s="56" t="s">
        <v>460</v>
      </c>
      <c r="N54" s="57" t="s">
        <v>461</v>
      </c>
      <c r="O54" s="57" t="s">
        <v>277</v>
      </c>
      <c r="P54" s="57" t="s">
        <v>278</v>
      </c>
      <c r="Q54" s="57" t="s">
        <v>462</v>
      </c>
      <c r="R54" s="58">
        <v>689.93</v>
      </c>
      <c r="S54" s="59" t="s">
        <v>463</v>
      </c>
    </row>
    <row r="55" ht="24.95" customHeight="1" spans="1:20">
      <c r="A55" s="43" t="s">
        <v>464</v>
      </c>
      <c r="B55" s="43"/>
      <c r="C55" s="43"/>
      <c r="D55" s="43"/>
      <c r="E55" s="43"/>
      <c r="F55" s="43"/>
      <c r="G55" s="43"/>
      <c r="H55" s="48">
        <f>SUM(H8:H54)</f>
        <v>3766.42151</v>
      </c>
      <c r="I55" s="48">
        <f t="shared" ref="I55:L55" si="1">SUM(I8:I54)</f>
        <v>0</v>
      </c>
      <c r="J55" s="48">
        <f t="shared" si="1"/>
        <v>759.24497</v>
      </c>
      <c r="K55" s="48">
        <f t="shared" si="1"/>
        <v>0</v>
      </c>
      <c r="L55" s="48">
        <f t="shared" si="1"/>
        <v>3007.17654</v>
      </c>
      <c r="T55" s="61" t="s">
        <v>465</v>
      </c>
    </row>
    <row r="56" ht="30" customHeight="1" spans="1:20">
      <c r="A56" s="49" t="s">
        <v>466</v>
      </c>
      <c r="B56" s="49"/>
      <c r="C56" s="45"/>
      <c r="D56" s="45" t="s">
        <v>467</v>
      </c>
      <c r="E56" s="44" t="s">
        <v>265</v>
      </c>
      <c r="F56" s="45"/>
      <c r="G56" s="45" t="s">
        <v>267</v>
      </c>
      <c r="H56" s="50">
        <v>45391</v>
      </c>
      <c r="I56" s="50">
        <f>10000+2773</f>
        <v>12773</v>
      </c>
      <c r="J56" s="50">
        <v>2773</v>
      </c>
      <c r="K56" s="50">
        <v>1629.4467</v>
      </c>
      <c r="L56" s="50">
        <f>H56+I56-J56</f>
        <v>55391</v>
      </c>
      <c r="T56" s="36" t="s">
        <v>468</v>
      </c>
    </row>
    <row r="57" ht="30" customHeight="1" spans="1:20">
      <c r="A57" s="49" t="s">
        <v>466</v>
      </c>
      <c r="B57" s="49"/>
      <c r="C57" s="45"/>
      <c r="D57" s="45" t="s">
        <v>469</v>
      </c>
      <c r="E57" s="44" t="s">
        <v>294</v>
      </c>
      <c r="F57" s="45"/>
      <c r="G57" s="45" t="s">
        <v>470</v>
      </c>
      <c r="H57" s="50">
        <v>146133</v>
      </c>
      <c r="I57" s="50">
        <f>65000</f>
        <v>65000</v>
      </c>
      <c r="J57" s="50"/>
      <c r="K57" s="50">
        <v>6463.23044</v>
      </c>
      <c r="L57" s="50">
        <f>H57+I57-J57</f>
        <v>211133</v>
      </c>
      <c r="T57" s="38" t="s">
        <v>471</v>
      </c>
    </row>
    <row r="58" ht="24.95" customHeight="1" spans="1:12">
      <c r="A58" s="51" t="s">
        <v>472</v>
      </c>
      <c r="B58" s="51"/>
      <c r="C58" s="51"/>
      <c r="D58" s="51"/>
      <c r="E58" s="51"/>
      <c r="F58" s="51"/>
      <c r="G58" s="51"/>
      <c r="H58" s="48">
        <f>H56+H57</f>
        <v>191524</v>
      </c>
      <c r="I58" s="48">
        <f t="shared" ref="I58:L58" si="2">I56+I57</f>
        <v>77773</v>
      </c>
      <c r="J58" s="48">
        <f t="shared" si="2"/>
        <v>2773</v>
      </c>
      <c r="K58" s="48">
        <f t="shared" si="2"/>
        <v>8092.67714</v>
      </c>
      <c r="L58" s="48">
        <f t="shared" si="2"/>
        <v>266524</v>
      </c>
    </row>
    <row r="59" ht="24.95" customHeight="1" spans="1:21">
      <c r="A59" s="51" t="s">
        <v>473</v>
      </c>
      <c r="B59" s="51"/>
      <c r="C59" s="51"/>
      <c r="D59" s="51"/>
      <c r="E59" s="51"/>
      <c r="F59" s="51"/>
      <c r="G59" s="51"/>
      <c r="H59" s="48">
        <f>H7+H55+H58</f>
        <v>222454.584906</v>
      </c>
      <c r="I59" s="48">
        <f t="shared" ref="I59:L59" si="3">I7+I55+I58</f>
        <v>93628.950547</v>
      </c>
      <c r="J59" s="48">
        <f t="shared" si="3"/>
        <v>4246.897814</v>
      </c>
      <c r="K59" s="48">
        <f t="shared" si="3"/>
        <v>8980.947754</v>
      </c>
      <c r="L59" s="48">
        <f t="shared" si="3"/>
        <v>311836.637639</v>
      </c>
      <c r="U59" s="62"/>
    </row>
  </sheetData>
  <mergeCells count="9">
    <mergeCell ref="A1:B1"/>
    <mergeCell ref="A2:S2"/>
    <mergeCell ref="A3:S3"/>
    <mergeCell ref="A7:G7"/>
    <mergeCell ref="A55:G55"/>
    <mergeCell ref="A56:B56"/>
    <mergeCell ref="A57:B57"/>
    <mergeCell ref="A58:G58"/>
    <mergeCell ref="A59:G59"/>
  </mergeCells>
  <printOptions horizontalCentered="1"/>
  <pageMargins left="0.393700787401575" right="0.393700787401575" top="0.590551181102362" bottom="0.590551181102362" header="0.31496062992126" footer="0.196850393700787"/>
  <pageSetup paperSize="9" scale="94" fitToHeight="0" orientation="landscape"/>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J53"/>
  <sheetViews>
    <sheetView workbookViewId="0">
      <selection activeCell="C1" sqref="C$1:C$1048576"/>
    </sheetView>
  </sheetViews>
  <sheetFormatPr defaultColWidth="9" defaultRowHeight="12.75"/>
  <cols>
    <col min="1" max="1" width="27.75" style="4" customWidth="1"/>
    <col min="2" max="2" width="47.75" style="4" customWidth="1"/>
    <col min="3" max="3" width="11.5" style="5" customWidth="1"/>
    <col min="4" max="4" width="12.5" style="6" customWidth="1"/>
    <col min="5" max="6" width="12.5" style="4" customWidth="1"/>
    <col min="7" max="7" width="8.75" style="4" customWidth="1"/>
    <col min="8" max="221" width="9" style="7"/>
    <col min="222" max="224" width="9" style="7" hidden="1" customWidth="1"/>
    <col min="225" max="225" width="29.375" style="7" customWidth="1"/>
    <col min="226" max="226" width="9" style="7" hidden="1" customWidth="1"/>
    <col min="227" max="227" width="31.875" style="7" customWidth="1"/>
    <col min="228" max="229" width="9" style="7" hidden="1" customWidth="1"/>
    <col min="230" max="230" width="16.375" style="7" customWidth="1"/>
    <col min="231" max="231" width="9" style="7" hidden="1" customWidth="1"/>
    <col min="232" max="233" width="16.375" style="7" customWidth="1"/>
    <col min="234" max="258" width="9" style="7" hidden="1" customWidth="1"/>
    <col min="259" max="260" width="16.375" style="7" customWidth="1"/>
    <col min="261" max="261" width="17.125" style="7" customWidth="1"/>
    <col min="262" max="263" width="9" style="7" hidden="1" customWidth="1"/>
    <col min="264" max="477" width="9" style="7"/>
    <col min="478" max="480" width="9" style="7" hidden="1" customWidth="1"/>
    <col min="481" max="481" width="29.375" style="7" customWidth="1"/>
    <col min="482" max="482" width="9" style="7" hidden="1" customWidth="1"/>
    <col min="483" max="483" width="31.875" style="7" customWidth="1"/>
    <col min="484" max="485" width="9" style="7" hidden="1" customWidth="1"/>
    <col min="486" max="486" width="16.375" style="7" customWidth="1"/>
    <col min="487" max="487" width="9" style="7" hidden="1" customWidth="1"/>
    <col min="488" max="489" width="16.375" style="7" customWidth="1"/>
    <col min="490" max="514" width="9" style="7" hidden="1" customWidth="1"/>
    <col min="515" max="516" width="16.375" style="7" customWidth="1"/>
    <col min="517" max="517" width="17.125" style="7" customWidth="1"/>
    <col min="518" max="519" width="9" style="7" hidden="1" customWidth="1"/>
    <col min="520" max="733" width="9" style="7"/>
    <col min="734" max="736" width="9" style="7" hidden="1" customWidth="1"/>
    <col min="737" max="737" width="29.375" style="7" customWidth="1"/>
    <col min="738" max="738" width="9" style="7" hidden="1" customWidth="1"/>
    <col min="739" max="739" width="31.875" style="7" customWidth="1"/>
    <col min="740" max="741" width="9" style="7" hidden="1" customWidth="1"/>
    <col min="742" max="742" width="16.375" style="7" customWidth="1"/>
    <col min="743" max="743" width="9" style="7" hidden="1" customWidth="1"/>
    <col min="744" max="745" width="16.375" style="7" customWidth="1"/>
    <col min="746" max="770" width="9" style="7" hidden="1" customWidth="1"/>
    <col min="771" max="772" width="16.375" style="7" customWidth="1"/>
    <col min="773" max="773" width="17.125" style="7" customWidth="1"/>
    <col min="774" max="775" width="9" style="7" hidden="1" customWidth="1"/>
    <col min="776" max="989" width="9" style="7"/>
    <col min="990" max="992" width="9" style="7" hidden="1" customWidth="1"/>
    <col min="993" max="993" width="29.375" style="7" customWidth="1"/>
    <col min="994" max="994" width="9" style="7" hidden="1" customWidth="1"/>
    <col min="995" max="995" width="31.875" style="7" customWidth="1"/>
    <col min="996" max="997" width="9" style="7" hidden="1" customWidth="1"/>
    <col min="998" max="998" width="16.375" style="7" customWidth="1"/>
    <col min="999" max="999" width="9" style="7" hidden="1" customWidth="1"/>
    <col min="1000" max="1001" width="16.375" style="7" customWidth="1"/>
    <col min="1002" max="1026" width="9" style="7" hidden="1" customWidth="1"/>
    <col min="1027" max="1028" width="16.375" style="7" customWidth="1"/>
    <col min="1029" max="1029" width="17.125" style="7" customWidth="1"/>
    <col min="1030" max="1031" width="9" style="7" hidden="1" customWidth="1"/>
    <col min="1032" max="1245" width="9" style="7"/>
    <col min="1246" max="1248" width="9" style="7" hidden="1" customWidth="1"/>
    <col min="1249" max="1249" width="29.375" style="7" customWidth="1"/>
    <col min="1250" max="1250" width="9" style="7" hidden="1" customWidth="1"/>
    <col min="1251" max="1251" width="31.875" style="7" customWidth="1"/>
    <col min="1252" max="1253" width="9" style="7" hidden="1" customWidth="1"/>
    <col min="1254" max="1254" width="16.375" style="7" customWidth="1"/>
    <col min="1255" max="1255" width="9" style="7" hidden="1" customWidth="1"/>
    <col min="1256" max="1257" width="16.375" style="7" customWidth="1"/>
    <col min="1258" max="1282" width="9" style="7" hidden="1" customWidth="1"/>
    <col min="1283" max="1284" width="16.375" style="7" customWidth="1"/>
    <col min="1285" max="1285" width="17.125" style="7" customWidth="1"/>
    <col min="1286" max="1287" width="9" style="7" hidden="1" customWidth="1"/>
    <col min="1288" max="1501" width="9" style="7"/>
    <col min="1502" max="1504" width="9" style="7" hidden="1" customWidth="1"/>
    <col min="1505" max="1505" width="29.375" style="7" customWidth="1"/>
    <col min="1506" max="1506" width="9" style="7" hidden="1" customWidth="1"/>
    <col min="1507" max="1507" width="31.875" style="7" customWidth="1"/>
    <col min="1508" max="1509" width="9" style="7" hidden="1" customWidth="1"/>
    <col min="1510" max="1510" width="16.375" style="7" customWidth="1"/>
    <col min="1511" max="1511" width="9" style="7" hidden="1" customWidth="1"/>
    <col min="1512" max="1513" width="16.375" style="7" customWidth="1"/>
    <col min="1514" max="1538" width="9" style="7" hidden="1" customWidth="1"/>
    <col min="1539" max="1540" width="16.375" style="7" customWidth="1"/>
    <col min="1541" max="1541" width="17.125" style="7" customWidth="1"/>
    <col min="1542" max="1543" width="9" style="7" hidden="1" customWidth="1"/>
    <col min="1544" max="1757" width="9" style="7"/>
    <col min="1758" max="1760" width="9" style="7" hidden="1" customWidth="1"/>
    <col min="1761" max="1761" width="29.375" style="7" customWidth="1"/>
    <col min="1762" max="1762" width="9" style="7" hidden="1" customWidth="1"/>
    <col min="1763" max="1763" width="31.875" style="7" customWidth="1"/>
    <col min="1764" max="1765" width="9" style="7" hidden="1" customWidth="1"/>
    <col min="1766" max="1766" width="16.375" style="7" customWidth="1"/>
    <col min="1767" max="1767" width="9" style="7" hidden="1" customWidth="1"/>
    <col min="1768" max="1769" width="16.375" style="7" customWidth="1"/>
    <col min="1770" max="1794" width="9" style="7" hidden="1" customWidth="1"/>
    <col min="1795" max="1796" width="16.375" style="7" customWidth="1"/>
    <col min="1797" max="1797" width="17.125" style="7" customWidth="1"/>
    <col min="1798" max="1799" width="9" style="7" hidden="1" customWidth="1"/>
    <col min="1800" max="2013" width="9" style="7"/>
    <col min="2014" max="2016" width="9" style="7" hidden="1" customWidth="1"/>
    <col min="2017" max="2017" width="29.375" style="7" customWidth="1"/>
    <col min="2018" max="2018" width="9" style="7" hidden="1" customWidth="1"/>
    <col min="2019" max="2019" width="31.875" style="7" customWidth="1"/>
    <col min="2020" max="2021" width="9" style="7" hidden="1" customWidth="1"/>
    <col min="2022" max="2022" width="16.375" style="7" customWidth="1"/>
    <col min="2023" max="2023" width="9" style="7" hidden="1" customWidth="1"/>
    <col min="2024" max="2025" width="16.375" style="7" customWidth="1"/>
    <col min="2026" max="2050" width="9" style="7" hidden="1" customWidth="1"/>
    <col min="2051" max="2052" width="16.375" style="7" customWidth="1"/>
    <col min="2053" max="2053" width="17.125" style="7" customWidth="1"/>
    <col min="2054" max="2055" width="9" style="7" hidden="1" customWidth="1"/>
    <col min="2056" max="2269" width="9" style="7"/>
    <col min="2270" max="2272" width="9" style="7" hidden="1" customWidth="1"/>
    <col min="2273" max="2273" width="29.375" style="7" customWidth="1"/>
    <col min="2274" max="2274" width="9" style="7" hidden="1" customWidth="1"/>
    <col min="2275" max="2275" width="31.875" style="7" customWidth="1"/>
    <col min="2276" max="2277" width="9" style="7" hidden="1" customWidth="1"/>
    <col min="2278" max="2278" width="16.375" style="7" customWidth="1"/>
    <col min="2279" max="2279" width="9" style="7" hidden="1" customWidth="1"/>
    <col min="2280" max="2281" width="16.375" style="7" customWidth="1"/>
    <col min="2282" max="2306" width="9" style="7" hidden="1" customWidth="1"/>
    <col min="2307" max="2308" width="16.375" style="7" customWidth="1"/>
    <col min="2309" max="2309" width="17.125" style="7" customWidth="1"/>
    <col min="2310" max="2311" width="9" style="7" hidden="1" customWidth="1"/>
    <col min="2312" max="2525" width="9" style="7"/>
    <col min="2526" max="2528" width="9" style="7" hidden="1" customWidth="1"/>
    <col min="2529" max="2529" width="29.375" style="7" customWidth="1"/>
    <col min="2530" max="2530" width="9" style="7" hidden="1" customWidth="1"/>
    <col min="2531" max="2531" width="31.875" style="7" customWidth="1"/>
    <col min="2532" max="2533" width="9" style="7" hidden="1" customWidth="1"/>
    <col min="2534" max="2534" width="16.375" style="7" customWidth="1"/>
    <col min="2535" max="2535" width="9" style="7" hidden="1" customWidth="1"/>
    <col min="2536" max="2537" width="16.375" style="7" customWidth="1"/>
    <col min="2538" max="2562" width="9" style="7" hidden="1" customWidth="1"/>
    <col min="2563" max="2564" width="16.375" style="7" customWidth="1"/>
    <col min="2565" max="2565" width="17.125" style="7" customWidth="1"/>
    <col min="2566" max="2567" width="9" style="7" hidden="1" customWidth="1"/>
    <col min="2568" max="2781" width="9" style="7"/>
    <col min="2782" max="2784" width="9" style="7" hidden="1" customWidth="1"/>
    <col min="2785" max="2785" width="29.375" style="7" customWidth="1"/>
    <col min="2786" max="2786" width="9" style="7" hidden="1" customWidth="1"/>
    <col min="2787" max="2787" width="31.875" style="7" customWidth="1"/>
    <col min="2788" max="2789" width="9" style="7" hidden="1" customWidth="1"/>
    <col min="2790" max="2790" width="16.375" style="7" customWidth="1"/>
    <col min="2791" max="2791" width="9" style="7" hidden="1" customWidth="1"/>
    <col min="2792" max="2793" width="16.375" style="7" customWidth="1"/>
    <col min="2794" max="2818" width="9" style="7" hidden="1" customWidth="1"/>
    <col min="2819" max="2820" width="16.375" style="7" customWidth="1"/>
    <col min="2821" max="2821" width="17.125" style="7" customWidth="1"/>
    <col min="2822" max="2823" width="9" style="7" hidden="1" customWidth="1"/>
    <col min="2824" max="3037" width="9" style="7"/>
    <col min="3038" max="3040" width="9" style="7" hidden="1" customWidth="1"/>
    <col min="3041" max="3041" width="29.375" style="7" customWidth="1"/>
    <col min="3042" max="3042" width="9" style="7" hidden="1" customWidth="1"/>
    <col min="3043" max="3043" width="31.875" style="7" customWidth="1"/>
    <col min="3044" max="3045" width="9" style="7" hidden="1" customWidth="1"/>
    <col min="3046" max="3046" width="16.375" style="7" customWidth="1"/>
    <col min="3047" max="3047" width="9" style="7" hidden="1" customWidth="1"/>
    <col min="3048" max="3049" width="16.375" style="7" customWidth="1"/>
    <col min="3050" max="3074" width="9" style="7" hidden="1" customWidth="1"/>
    <col min="3075" max="3076" width="16.375" style="7" customWidth="1"/>
    <col min="3077" max="3077" width="17.125" style="7" customWidth="1"/>
    <col min="3078" max="3079" width="9" style="7" hidden="1" customWidth="1"/>
    <col min="3080" max="3293" width="9" style="7"/>
    <col min="3294" max="3296" width="9" style="7" hidden="1" customWidth="1"/>
    <col min="3297" max="3297" width="29.375" style="7" customWidth="1"/>
    <col min="3298" max="3298" width="9" style="7" hidden="1" customWidth="1"/>
    <col min="3299" max="3299" width="31.875" style="7" customWidth="1"/>
    <col min="3300" max="3301" width="9" style="7" hidden="1" customWidth="1"/>
    <col min="3302" max="3302" width="16.375" style="7" customWidth="1"/>
    <col min="3303" max="3303" width="9" style="7" hidden="1" customWidth="1"/>
    <col min="3304" max="3305" width="16.375" style="7" customWidth="1"/>
    <col min="3306" max="3330" width="9" style="7" hidden="1" customWidth="1"/>
    <col min="3331" max="3332" width="16.375" style="7" customWidth="1"/>
    <col min="3333" max="3333" width="17.125" style="7" customWidth="1"/>
    <col min="3334" max="3335" width="9" style="7" hidden="1" customWidth="1"/>
    <col min="3336" max="3549" width="9" style="7"/>
    <col min="3550" max="3552" width="9" style="7" hidden="1" customWidth="1"/>
    <col min="3553" max="3553" width="29.375" style="7" customWidth="1"/>
    <col min="3554" max="3554" width="9" style="7" hidden="1" customWidth="1"/>
    <col min="3555" max="3555" width="31.875" style="7" customWidth="1"/>
    <col min="3556" max="3557" width="9" style="7" hidden="1" customWidth="1"/>
    <col min="3558" max="3558" width="16.375" style="7" customWidth="1"/>
    <col min="3559" max="3559" width="9" style="7" hidden="1" customWidth="1"/>
    <col min="3560" max="3561" width="16.375" style="7" customWidth="1"/>
    <col min="3562" max="3586" width="9" style="7" hidden="1" customWidth="1"/>
    <col min="3587" max="3588" width="16.375" style="7" customWidth="1"/>
    <col min="3589" max="3589" width="17.125" style="7" customWidth="1"/>
    <col min="3590" max="3591" width="9" style="7" hidden="1" customWidth="1"/>
    <col min="3592" max="3805" width="9" style="7"/>
    <col min="3806" max="3808" width="9" style="7" hidden="1" customWidth="1"/>
    <col min="3809" max="3809" width="29.375" style="7" customWidth="1"/>
    <col min="3810" max="3810" width="9" style="7" hidden="1" customWidth="1"/>
    <col min="3811" max="3811" width="31.875" style="7" customWidth="1"/>
    <col min="3812" max="3813" width="9" style="7" hidden="1" customWidth="1"/>
    <col min="3814" max="3814" width="16.375" style="7" customWidth="1"/>
    <col min="3815" max="3815" width="9" style="7" hidden="1" customWidth="1"/>
    <col min="3816" max="3817" width="16.375" style="7" customWidth="1"/>
    <col min="3818" max="3842" width="9" style="7" hidden="1" customWidth="1"/>
    <col min="3843" max="3844" width="16.375" style="7" customWidth="1"/>
    <col min="3845" max="3845" width="17.125" style="7" customWidth="1"/>
    <col min="3846" max="3847" width="9" style="7" hidden="1" customWidth="1"/>
    <col min="3848" max="4061" width="9" style="7"/>
    <col min="4062" max="4064" width="9" style="7" hidden="1" customWidth="1"/>
    <col min="4065" max="4065" width="29.375" style="7" customWidth="1"/>
    <col min="4066" max="4066" width="9" style="7" hidden="1" customWidth="1"/>
    <col min="4067" max="4067" width="31.875" style="7" customWidth="1"/>
    <col min="4068" max="4069" width="9" style="7" hidden="1" customWidth="1"/>
    <col min="4070" max="4070" width="16.375" style="7" customWidth="1"/>
    <col min="4071" max="4071" width="9" style="7" hidden="1" customWidth="1"/>
    <col min="4072" max="4073" width="16.375" style="7" customWidth="1"/>
    <col min="4074" max="4098" width="9" style="7" hidden="1" customWidth="1"/>
    <col min="4099" max="4100" width="16.375" style="7" customWidth="1"/>
    <col min="4101" max="4101" width="17.125" style="7" customWidth="1"/>
    <col min="4102" max="4103" width="9" style="7" hidden="1" customWidth="1"/>
    <col min="4104" max="4317" width="9" style="7"/>
    <col min="4318" max="4320" width="9" style="7" hidden="1" customWidth="1"/>
    <col min="4321" max="4321" width="29.375" style="7" customWidth="1"/>
    <col min="4322" max="4322" width="9" style="7" hidden="1" customWidth="1"/>
    <col min="4323" max="4323" width="31.875" style="7" customWidth="1"/>
    <col min="4324" max="4325" width="9" style="7" hidden="1" customWidth="1"/>
    <col min="4326" max="4326" width="16.375" style="7" customWidth="1"/>
    <col min="4327" max="4327" width="9" style="7" hidden="1" customWidth="1"/>
    <col min="4328" max="4329" width="16.375" style="7" customWidth="1"/>
    <col min="4330" max="4354" width="9" style="7" hidden="1" customWidth="1"/>
    <col min="4355" max="4356" width="16.375" style="7" customWidth="1"/>
    <col min="4357" max="4357" width="17.125" style="7" customWidth="1"/>
    <col min="4358" max="4359" width="9" style="7" hidden="1" customWidth="1"/>
    <col min="4360" max="4573" width="9" style="7"/>
    <col min="4574" max="4576" width="9" style="7" hidden="1" customWidth="1"/>
    <col min="4577" max="4577" width="29.375" style="7" customWidth="1"/>
    <col min="4578" max="4578" width="9" style="7" hidden="1" customWidth="1"/>
    <col min="4579" max="4579" width="31.875" style="7" customWidth="1"/>
    <col min="4580" max="4581" width="9" style="7" hidden="1" customWidth="1"/>
    <col min="4582" max="4582" width="16.375" style="7" customWidth="1"/>
    <col min="4583" max="4583" width="9" style="7" hidden="1" customWidth="1"/>
    <col min="4584" max="4585" width="16.375" style="7" customWidth="1"/>
    <col min="4586" max="4610" width="9" style="7" hidden="1" customWidth="1"/>
    <col min="4611" max="4612" width="16.375" style="7" customWidth="1"/>
    <col min="4613" max="4613" width="17.125" style="7" customWidth="1"/>
    <col min="4614" max="4615" width="9" style="7" hidden="1" customWidth="1"/>
    <col min="4616" max="4829" width="9" style="7"/>
    <col min="4830" max="4832" width="9" style="7" hidden="1" customWidth="1"/>
    <col min="4833" max="4833" width="29.375" style="7" customWidth="1"/>
    <col min="4834" max="4834" width="9" style="7" hidden="1" customWidth="1"/>
    <col min="4835" max="4835" width="31.875" style="7" customWidth="1"/>
    <col min="4836" max="4837" width="9" style="7" hidden="1" customWidth="1"/>
    <col min="4838" max="4838" width="16.375" style="7" customWidth="1"/>
    <col min="4839" max="4839" width="9" style="7" hidden="1" customWidth="1"/>
    <col min="4840" max="4841" width="16.375" style="7" customWidth="1"/>
    <col min="4842" max="4866" width="9" style="7" hidden="1" customWidth="1"/>
    <col min="4867" max="4868" width="16.375" style="7" customWidth="1"/>
    <col min="4869" max="4869" width="17.125" style="7" customWidth="1"/>
    <col min="4870" max="4871" width="9" style="7" hidden="1" customWidth="1"/>
    <col min="4872" max="5085" width="9" style="7"/>
    <col min="5086" max="5088" width="9" style="7" hidden="1" customWidth="1"/>
    <col min="5089" max="5089" width="29.375" style="7" customWidth="1"/>
    <col min="5090" max="5090" width="9" style="7" hidden="1" customWidth="1"/>
    <col min="5091" max="5091" width="31.875" style="7" customWidth="1"/>
    <col min="5092" max="5093" width="9" style="7" hidden="1" customWidth="1"/>
    <col min="5094" max="5094" width="16.375" style="7" customWidth="1"/>
    <col min="5095" max="5095" width="9" style="7" hidden="1" customWidth="1"/>
    <col min="5096" max="5097" width="16.375" style="7" customWidth="1"/>
    <col min="5098" max="5122" width="9" style="7" hidden="1" customWidth="1"/>
    <col min="5123" max="5124" width="16.375" style="7" customWidth="1"/>
    <col min="5125" max="5125" width="17.125" style="7" customWidth="1"/>
    <col min="5126" max="5127" width="9" style="7" hidden="1" customWidth="1"/>
    <col min="5128" max="5341" width="9" style="7"/>
    <col min="5342" max="5344" width="9" style="7" hidden="1" customWidth="1"/>
    <col min="5345" max="5345" width="29.375" style="7" customWidth="1"/>
    <col min="5346" max="5346" width="9" style="7" hidden="1" customWidth="1"/>
    <col min="5347" max="5347" width="31.875" style="7" customWidth="1"/>
    <col min="5348" max="5349" width="9" style="7" hidden="1" customWidth="1"/>
    <col min="5350" max="5350" width="16.375" style="7" customWidth="1"/>
    <col min="5351" max="5351" width="9" style="7" hidden="1" customWidth="1"/>
    <col min="5352" max="5353" width="16.375" style="7" customWidth="1"/>
    <col min="5354" max="5378" width="9" style="7" hidden="1" customWidth="1"/>
    <col min="5379" max="5380" width="16.375" style="7" customWidth="1"/>
    <col min="5381" max="5381" width="17.125" style="7" customWidth="1"/>
    <col min="5382" max="5383" width="9" style="7" hidden="1" customWidth="1"/>
    <col min="5384" max="5597" width="9" style="7"/>
    <col min="5598" max="5600" width="9" style="7" hidden="1" customWidth="1"/>
    <col min="5601" max="5601" width="29.375" style="7" customWidth="1"/>
    <col min="5602" max="5602" width="9" style="7" hidden="1" customWidth="1"/>
    <col min="5603" max="5603" width="31.875" style="7" customWidth="1"/>
    <col min="5604" max="5605" width="9" style="7" hidden="1" customWidth="1"/>
    <col min="5606" max="5606" width="16.375" style="7" customWidth="1"/>
    <col min="5607" max="5607" width="9" style="7" hidden="1" customWidth="1"/>
    <col min="5608" max="5609" width="16.375" style="7" customWidth="1"/>
    <col min="5610" max="5634" width="9" style="7" hidden="1" customWidth="1"/>
    <col min="5635" max="5636" width="16.375" style="7" customWidth="1"/>
    <col min="5637" max="5637" width="17.125" style="7" customWidth="1"/>
    <col min="5638" max="5639" width="9" style="7" hidden="1" customWidth="1"/>
    <col min="5640" max="5853" width="9" style="7"/>
    <col min="5854" max="5856" width="9" style="7" hidden="1" customWidth="1"/>
    <col min="5857" max="5857" width="29.375" style="7" customWidth="1"/>
    <col min="5858" max="5858" width="9" style="7" hidden="1" customWidth="1"/>
    <col min="5859" max="5859" width="31.875" style="7" customWidth="1"/>
    <col min="5860" max="5861" width="9" style="7" hidden="1" customWidth="1"/>
    <col min="5862" max="5862" width="16.375" style="7" customWidth="1"/>
    <col min="5863" max="5863" width="9" style="7" hidden="1" customWidth="1"/>
    <col min="5864" max="5865" width="16.375" style="7" customWidth="1"/>
    <col min="5866" max="5890" width="9" style="7" hidden="1" customWidth="1"/>
    <col min="5891" max="5892" width="16.375" style="7" customWidth="1"/>
    <col min="5893" max="5893" width="17.125" style="7" customWidth="1"/>
    <col min="5894" max="5895" width="9" style="7" hidden="1" customWidth="1"/>
    <col min="5896" max="6109" width="9" style="7"/>
    <col min="6110" max="6112" width="9" style="7" hidden="1" customWidth="1"/>
    <col min="6113" max="6113" width="29.375" style="7" customWidth="1"/>
    <col min="6114" max="6114" width="9" style="7" hidden="1" customWidth="1"/>
    <col min="6115" max="6115" width="31.875" style="7" customWidth="1"/>
    <col min="6116" max="6117" width="9" style="7" hidden="1" customWidth="1"/>
    <col min="6118" max="6118" width="16.375" style="7" customWidth="1"/>
    <col min="6119" max="6119" width="9" style="7" hidden="1" customWidth="1"/>
    <col min="6120" max="6121" width="16.375" style="7" customWidth="1"/>
    <col min="6122" max="6146" width="9" style="7" hidden="1" customWidth="1"/>
    <col min="6147" max="6148" width="16.375" style="7" customWidth="1"/>
    <col min="6149" max="6149" width="17.125" style="7" customWidth="1"/>
    <col min="6150" max="6151" width="9" style="7" hidden="1" customWidth="1"/>
    <col min="6152" max="6365" width="9" style="7"/>
    <col min="6366" max="6368" width="9" style="7" hidden="1" customWidth="1"/>
    <col min="6369" max="6369" width="29.375" style="7" customWidth="1"/>
    <col min="6370" max="6370" width="9" style="7" hidden="1" customWidth="1"/>
    <col min="6371" max="6371" width="31.875" style="7" customWidth="1"/>
    <col min="6372" max="6373" width="9" style="7" hidden="1" customWidth="1"/>
    <col min="6374" max="6374" width="16.375" style="7" customWidth="1"/>
    <col min="6375" max="6375" width="9" style="7" hidden="1" customWidth="1"/>
    <col min="6376" max="6377" width="16.375" style="7" customWidth="1"/>
    <col min="6378" max="6402" width="9" style="7" hidden="1" customWidth="1"/>
    <col min="6403" max="6404" width="16.375" style="7" customWidth="1"/>
    <col min="6405" max="6405" width="17.125" style="7" customWidth="1"/>
    <col min="6406" max="6407" width="9" style="7" hidden="1" customWidth="1"/>
    <col min="6408" max="6621" width="9" style="7"/>
    <col min="6622" max="6624" width="9" style="7" hidden="1" customWidth="1"/>
    <col min="6625" max="6625" width="29.375" style="7" customWidth="1"/>
    <col min="6626" max="6626" width="9" style="7" hidden="1" customWidth="1"/>
    <col min="6627" max="6627" width="31.875" style="7" customWidth="1"/>
    <col min="6628" max="6629" width="9" style="7" hidden="1" customWidth="1"/>
    <col min="6630" max="6630" width="16.375" style="7" customWidth="1"/>
    <col min="6631" max="6631" width="9" style="7" hidden="1" customWidth="1"/>
    <col min="6632" max="6633" width="16.375" style="7" customWidth="1"/>
    <col min="6634" max="6658" width="9" style="7" hidden="1" customWidth="1"/>
    <col min="6659" max="6660" width="16.375" style="7" customWidth="1"/>
    <col min="6661" max="6661" width="17.125" style="7" customWidth="1"/>
    <col min="6662" max="6663" width="9" style="7" hidden="1" customWidth="1"/>
    <col min="6664" max="6877" width="9" style="7"/>
    <col min="6878" max="6880" width="9" style="7" hidden="1" customWidth="1"/>
    <col min="6881" max="6881" width="29.375" style="7" customWidth="1"/>
    <col min="6882" max="6882" width="9" style="7" hidden="1" customWidth="1"/>
    <col min="6883" max="6883" width="31.875" style="7" customWidth="1"/>
    <col min="6884" max="6885" width="9" style="7" hidden="1" customWidth="1"/>
    <col min="6886" max="6886" width="16.375" style="7" customWidth="1"/>
    <col min="6887" max="6887" width="9" style="7" hidden="1" customWidth="1"/>
    <col min="6888" max="6889" width="16.375" style="7" customWidth="1"/>
    <col min="6890" max="6914" width="9" style="7" hidden="1" customWidth="1"/>
    <col min="6915" max="6916" width="16.375" style="7" customWidth="1"/>
    <col min="6917" max="6917" width="17.125" style="7" customWidth="1"/>
    <col min="6918" max="6919" width="9" style="7" hidden="1" customWidth="1"/>
    <col min="6920" max="7133" width="9" style="7"/>
    <col min="7134" max="7136" width="9" style="7" hidden="1" customWidth="1"/>
    <col min="7137" max="7137" width="29.375" style="7" customWidth="1"/>
    <col min="7138" max="7138" width="9" style="7" hidden="1" customWidth="1"/>
    <col min="7139" max="7139" width="31.875" style="7" customWidth="1"/>
    <col min="7140" max="7141" width="9" style="7" hidden="1" customWidth="1"/>
    <col min="7142" max="7142" width="16.375" style="7" customWidth="1"/>
    <col min="7143" max="7143" width="9" style="7" hidden="1" customWidth="1"/>
    <col min="7144" max="7145" width="16.375" style="7" customWidth="1"/>
    <col min="7146" max="7170" width="9" style="7" hidden="1" customWidth="1"/>
    <col min="7171" max="7172" width="16.375" style="7" customWidth="1"/>
    <col min="7173" max="7173" width="17.125" style="7" customWidth="1"/>
    <col min="7174" max="7175" width="9" style="7" hidden="1" customWidth="1"/>
    <col min="7176" max="7389" width="9" style="7"/>
    <col min="7390" max="7392" width="9" style="7" hidden="1" customWidth="1"/>
    <col min="7393" max="7393" width="29.375" style="7" customWidth="1"/>
    <col min="7394" max="7394" width="9" style="7" hidden="1" customWidth="1"/>
    <col min="7395" max="7395" width="31.875" style="7" customWidth="1"/>
    <col min="7396" max="7397" width="9" style="7" hidden="1" customWidth="1"/>
    <col min="7398" max="7398" width="16.375" style="7" customWidth="1"/>
    <col min="7399" max="7399" width="9" style="7" hidden="1" customWidth="1"/>
    <col min="7400" max="7401" width="16.375" style="7" customWidth="1"/>
    <col min="7402" max="7426" width="9" style="7" hidden="1" customWidth="1"/>
    <col min="7427" max="7428" width="16.375" style="7" customWidth="1"/>
    <col min="7429" max="7429" width="17.125" style="7" customWidth="1"/>
    <col min="7430" max="7431" width="9" style="7" hidden="1" customWidth="1"/>
    <col min="7432" max="7645" width="9" style="7"/>
    <col min="7646" max="7648" width="9" style="7" hidden="1" customWidth="1"/>
    <col min="7649" max="7649" width="29.375" style="7" customWidth="1"/>
    <col min="7650" max="7650" width="9" style="7" hidden="1" customWidth="1"/>
    <col min="7651" max="7651" width="31.875" style="7" customWidth="1"/>
    <col min="7652" max="7653" width="9" style="7" hidden="1" customWidth="1"/>
    <col min="7654" max="7654" width="16.375" style="7" customWidth="1"/>
    <col min="7655" max="7655" width="9" style="7" hidden="1" customWidth="1"/>
    <col min="7656" max="7657" width="16.375" style="7" customWidth="1"/>
    <col min="7658" max="7682" width="9" style="7" hidden="1" customWidth="1"/>
    <col min="7683" max="7684" width="16.375" style="7" customWidth="1"/>
    <col min="7685" max="7685" width="17.125" style="7" customWidth="1"/>
    <col min="7686" max="7687" width="9" style="7" hidden="1" customWidth="1"/>
    <col min="7688" max="7901" width="9" style="7"/>
    <col min="7902" max="7904" width="9" style="7" hidden="1" customWidth="1"/>
    <col min="7905" max="7905" width="29.375" style="7" customWidth="1"/>
    <col min="7906" max="7906" width="9" style="7" hidden="1" customWidth="1"/>
    <col min="7907" max="7907" width="31.875" style="7" customWidth="1"/>
    <col min="7908" max="7909" width="9" style="7" hidden="1" customWidth="1"/>
    <col min="7910" max="7910" width="16.375" style="7" customWidth="1"/>
    <col min="7911" max="7911" width="9" style="7" hidden="1" customWidth="1"/>
    <col min="7912" max="7913" width="16.375" style="7" customWidth="1"/>
    <col min="7914" max="7938" width="9" style="7" hidden="1" customWidth="1"/>
    <col min="7939" max="7940" width="16.375" style="7" customWidth="1"/>
    <col min="7941" max="7941" width="17.125" style="7" customWidth="1"/>
    <col min="7942" max="7943" width="9" style="7" hidden="1" customWidth="1"/>
    <col min="7944" max="8157" width="9" style="7"/>
    <col min="8158" max="8160" width="9" style="7" hidden="1" customWidth="1"/>
    <col min="8161" max="8161" width="29.375" style="7" customWidth="1"/>
    <col min="8162" max="8162" width="9" style="7" hidden="1" customWidth="1"/>
    <col min="8163" max="8163" width="31.875" style="7" customWidth="1"/>
    <col min="8164" max="8165" width="9" style="7" hidden="1" customWidth="1"/>
    <col min="8166" max="8166" width="16.375" style="7" customWidth="1"/>
    <col min="8167" max="8167" width="9" style="7" hidden="1" customWidth="1"/>
    <col min="8168" max="8169" width="16.375" style="7" customWidth="1"/>
    <col min="8170" max="8194" width="9" style="7" hidden="1" customWidth="1"/>
    <col min="8195" max="8196" width="16.375" style="7" customWidth="1"/>
    <col min="8197" max="8197" width="17.125" style="7" customWidth="1"/>
    <col min="8198" max="8199" width="9" style="7" hidden="1" customWidth="1"/>
    <col min="8200" max="8413" width="9" style="7"/>
    <col min="8414" max="8416" width="9" style="7" hidden="1" customWidth="1"/>
    <col min="8417" max="8417" width="29.375" style="7" customWidth="1"/>
    <col min="8418" max="8418" width="9" style="7" hidden="1" customWidth="1"/>
    <col min="8419" max="8419" width="31.875" style="7" customWidth="1"/>
    <col min="8420" max="8421" width="9" style="7" hidden="1" customWidth="1"/>
    <col min="8422" max="8422" width="16.375" style="7" customWidth="1"/>
    <col min="8423" max="8423" width="9" style="7" hidden="1" customWidth="1"/>
    <col min="8424" max="8425" width="16.375" style="7" customWidth="1"/>
    <col min="8426" max="8450" width="9" style="7" hidden="1" customWidth="1"/>
    <col min="8451" max="8452" width="16.375" style="7" customWidth="1"/>
    <col min="8453" max="8453" width="17.125" style="7" customWidth="1"/>
    <col min="8454" max="8455" width="9" style="7" hidden="1" customWidth="1"/>
    <col min="8456" max="8669" width="9" style="7"/>
    <col min="8670" max="8672" width="9" style="7" hidden="1" customWidth="1"/>
    <col min="8673" max="8673" width="29.375" style="7" customWidth="1"/>
    <col min="8674" max="8674" width="9" style="7" hidden="1" customWidth="1"/>
    <col min="8675" max="8675" width="31.875" style="7" customWidth="1"/>
    <col min="8676" max="8677" width="9" style="7" hidden="1" customWidth="1"/>
    <col min="8678" max="8678" width="16.375" style="7" customWidth="1"/>
    <col min="8679" max="8679" width="9" style="7" hidden="1" customWidth="1"/>
    <col min="8680" max="8681" width="16.375" style="7" customWidth="1"/>
    <col min="8682" max="8706" width="9" style="7" hidden="1" customWidth="1"/>
    <col min="8707" max="8708" width="16.375" style="7" customWidth="1"/>
    <col min="8709" max="8709" width="17.125" style="7" customWidth="1"/>
    <col min="8710" max="8711" width="9" style="7" hidden="1" customWidth="1"/>
    <col min="8712" max="8925" width="9" style="7"/>
    <col min="8926" max="8928" width="9" style="7" hidden="1" customWidth="1"/>
    <col min="8929" max="8929" width="29.375" style="7" customWidth="1"/>
    <col min="8930" max="8930" width="9" style="7" hidden="1" customWidth="1"/>
    <col min="8931" max="8931" width="31.875" style="7" customWidth="1"/>
    <col min="8932" max="8933" width="9" style="7" hidden="1" customWidth="1"/>
    <col min="8934" max="8934" width="16.375" style="7" customWidth="1"/>
    <col min="8935" max="8935" width="9" style="7" hidden="1" customWidth="1"/>
    <col min="8936" max="8937" width="16.375" style="7" customWidth="1"/>
    <col min="8938" max="8962" width="9" style="7" hidden="1" customWidth="1"/>
    <col min="8963" max="8964" width="16.375" style="7" customWidth="1"/>
    <col min="8965" max="8965" width="17.125" style="7" customWidth="1"/>
    <col min="8966" max="8967" width="9" style="7" hidden="1" customWidth="1"/>
    <col min="8968" max="9181" width="9" style="7"/>
    <col min="9182" max="9184" width="9" style="7" hidden="1" customWidth="1"/>
    <col min="9185" max="9185" width="29.375" style="7" customWidth="1"/>
    <col min="9186" max="9186" width="9" style="7" hidden="1" customWidth="1"/>
    <col min="9187" max="9187" width="31.875" style="7" customWidth="1"/>
    <col min="9188" max="9189" width="9" style="7" hidden="1" customWidth="1"/>
    <col min="9190" max="9190" width="16.375" style="7" customWidth="1"/>
    <col min="9191" max="9191" width="9" style="7" hidden="1" customWidth="1"/>
    <col min="9192" max="9193" width="16.375" style="7" customWidth="1"/>
    <col min="9194" max="9218" width="9" style="7" hidden="1" customWidth="1"/>
    <col min="9219" max="9220" width="16.375" style="7" customWidth="1"/>
    <col min="9221" max="9221" width="17.125" style="7" customWidth="1"/>
    <col min="9222" max="9223" width="9" style="7" hidden="1" customWidth="1"/>
    <col min="9224" max="9437" width="9" style="7"/>
    <col min="9438" max="9440" width="9" style="7" hidden="1" customWidth="1"/>
    <col min="9441" max="9441" width="29.375" style="7" customWidth="1"/>
    <col min="9442" max="9442" width="9" style="7" hidden="1" customWidth="1"/>
    <col min="9443" max="9443" width="31.875" style="7" customWidth="1"/>
    <col min="9444" max="9445" width="9" style="7" hidden="1" customWidth="1"/>
    <col min="9446" max="9446" width="16.375" style="7" customWidth="1"/>
    <col min="9447" max="9447" width="9" style="7" hidden="1" customWidth="1"/>
    <col min="9448" max="9449" width="16.375" style="7" customWidth="1"/>
    <col min="9450" max="9474" width="9" style="7" hidden="1" customWidth="1"/>
    <col min="9475" max="9476" width="16.375" style="7" customWidth="1"/>
    <col min="9477" max="9477" width="17.125" style="7" customWidth="1"/>
    <col min="9478" max="9479" width="9" style="7" hidden="1" customWidth="1"/>
    <col min="9480" max="9693" width="9" style="7"/>
    <col min="9694" max="9696" width="9" style="7" hidden="1" customWidth="1"/>
    <col min="9697" max="9697" width="29.375" style="7" customWidth="1"/>
    <col min="9698" max="9698" width="9" style="7" hidden="1" customWidth="1"/>
    <col min="9699" max="9699" width="31.875" style="7" customWidth="1"/>
    <col min="9700" max="9701" width="9" style="7" hidden="1" customWidth="1"/>
    <col min="9702" max="9702" width="16.375" style="7" customWidth="1"/>
    <col min="9703" max="9703" width="9" style="7" hidden="1" customWidth="1"/>
    <col min="9704" max="9705" width="16.375" style="7" customWidth="1"/>
    <col min="9706" max="9730" width="9" style="7" hidden="1" customWidth="1"/>
    <col min="9731" max="9732" width="16.375" style="7" customWidth="1"/>
    <col min="9733" max="9733" width="17.125" style="7" customWidth="1"/>
    <col min="9734" max="9735" width="9" style="7" hidden="1" customWidth="1"/>
    <col min="9736" max="9949" width="9" style="7"/>
    <col min="9950" max="9952" width="9" style="7" hidden="1" customWidth="1"/>
    <col min="9953" max="9953" width="29.375" style="7" customWidth="1"/>
    <col min="9954" max="9954" width="9" style="7" hidden="1" customWidth="1"/>
    <col min="9955" max="9955" width="31.875" style="7" customWidth="1"/>
    <col min="9956" max="9957" width="9" style="7" hidden="1" customWidth="1"/>
    <col min="9958" max="9958" width="16.375" style="7" customWidth="1"/>
    <col min="9959" max="9959" width="9" style="7" hidden="1" customWidth="1"/>
    <col min="9960" max="9961" width="16.375" style="7" customWidth="1"/>
    <col min="9962" max="9986" width="9" style="7" hidden="1" customWidth="1"/>
    <col min="9987" max="9988" width="16.375" style="7" customWidth="1"/>
    <col min="9989" max="9989" width="17.125" style="7" customWidth="1"/>
    <col min="9990" max="9991" width="9" style="7" hidden="1" customWidth="1"/>
    <col min="9992" max="10205" width="9" style="7"/>
    <col min="10206" max="10208" width="9" style="7" hidden="1" customWidth="1"/>
    <col min="10209" max="10209" width="29.375" style="7" customWidth="1"/>
    <col min="10210" max="10210" width="9" style="7" hidden="1" customWidth="1"/>
    <col min="10211" max="10211" width="31.875" style="7" customWidth="1"/>
    <col min="10212" max="10213" width="9" style="7" hidden="1" customWidth="1"/>
    <col min="10214" max="10214" width="16.375" style="7" customWidth="1"/>
    <col min="10215" max="10215" width="9" style="7" hidden="1" customWidth="1"/>
    <col min="10216" max="10217" width="16.375" style="7" customWidth="1"/>
    <col min="10218" max="10242" width="9" style="7" hidden="1" customWidth="1"/>
    <col min="10243" max="10244" width="16.375" style="7" customWidth="1"/>
    <col min="10245" max="10245" width="17.125" style="7" customWidth="1"/>
    <col min="10246" max="10247" width="9" style="7" hidden="1" customWidth="1"/>
    <col min="10248" max="10461" width="9" style="7"/>
    <col min="10462" max="10464" width="9" style="7" hidden="1" customWidth="1"/>
    <col min="10465" max="10465" width="29.375" style="7" customWidth="1"/>
    <col min="10466" max="10466" width="9" style="7" hidden="1" customWidth="1"/>
    <col min="10467" max="10467" width="31.875" style="7" customWidth="1"/>
    <col min="10468" max="10469" width="9" style="7" hidden="1" customWidth="1"/>
    <col min="10470" max="10470" width="16.375" style="7" customWidth="1"/>
    <col min="10471" max="10471" width="9" style="7" hidden="1" customWidth="1"/>
    <col min="10472" max="10473" width="16.375" style="7" customWidth="1"/>
    <col min="10474" max="10498" width="9" style="7" hidden="1" customWidth="1"/>
    <col min="10499" max="10500" width="16.375" style="7" customWidth="1"/>
    <col min="10501" max="10501" width="17.125" style="7" customWidth="1"/>
    <col min="10502" max="10503" width="9" style="7" hidden="1" customWidth="1"/>
    <col min="10504" max="10717" width="9" style="7"/>
    <col min="10718" max="10720" width="9" style="7" hidden="1" customWidth="1"/>
    <col min="10721" max="10721" width="29.375" style="7" customWidth="1"/>
    <col min="10722" max="10722" width="9" style="7" hidden="1" customWidth="1"/>
    <col min="10723" max="10723" width="31.875" style="7" customWidth="1"/>
    <col min="10724" max="10725" width="9" style="7" hidden="1" customWidth="1"/>
    <col min="10726" max="10726" width="16.375" style="7" customWidth="1"/>
    <col min="10727" max="10727" width="9" style="7" hidden="1" customWidth="1"/>
    <col min="10728" max="10729" width="16.375" style="7" customWidth="1"/>
    <col min="10730" max="10754" width="9" style="7" hidden="1" customWidth="1"/>
    <col min="10755" max="10756" width="16.375" style="7" customWidth="1"/>
    <col min="10757" max="10757" width="17.125" style="7" customWidth="1"/>
    <col min="10758" max="10759" width="9" style="7" hidden="1" customWidth="1"/>
    <col min="10760" max="10973" width="9" style="7"/>
    <col min="10974" max="10976" width="9" style="7" hidden="1" customWidth="1"/>
    <col min="10977" max="10977" width="29.375" style="7" customWidth="1"/>
    <col min="10978" max="10978" width="9" style="7" hidden="1" customWidth="1"/>
    <col min="10979" max="10979" width="31.875" style="7" customWidth="1"/>
    <col min="10980" max="10981" width="9" style="7" hidden="1" customWidth="1"/>
    <col min="10982" max="10982" width="16.375" style="7" customWidth="1"/>
    <col min="10983" max="10983" width="9" style="7" hidden="1" customWidth="1"/>
    <col min="10984" max="10985" width="16.375" style="7" customWidth="1"/>
    <col min="10986" max="11010" width="9" style="7" hidden="1" customWidth="1"/>
    <col min="11011" max="11012" width="16.375" style="7" customWidth="1"/>
    <col min="11013" max="11013" width="17.125" style="7" customWidth="1"/>
    <col min="11014" max="11015" width="9" style="7" hidden="1" customWidth="1"/>
    <col min="11016" max="11229" width="9" style="7"/>
    <col min="11230" max="11232" width="9" style="7" hidden="1" customWidth="1"/>
    <col min="11233" max="11233" width="29.375" style="7" customWidth="1"/>
    <col min="11234" max="11234" width="9" style="7" hidden="1" customWidth="1"/>
    <col min="11235" max="11235" width="31.875" style="7" customWidth="1"/>
    <col min="11236" max="11237" width="9" style="7" hidden="1" customWidth="1"/>
    <col min="11238" max="11238" width="16.375" style="7" customWidth="1"/>
    <col min="11239" max="11239" width="9" style="7" hidden="1" customWidth="1"/>
    <col min="11240" max="11241" width="16.375" style="7" customWidth="1"/>
    <col min="11242" max="11266" width="9" style="7" hidden="1" customWidth="1"/>
    <col min="11267" max="11268" width="16.375" style="7" customWidth="1"/>
    <col min="11269" max="11269" width="17.125" style="7" customWidth="1"/>
    <col min="11270" max="11271" width="9" style="7" hidden="1" customWidth="1"/>
    <col min="11272" max="11485" width="9" style="7"/>
    <col min="11486" max="11488" width="9" style="7" hidden="1" customWidth="1"/>
    <col min="11489" max="11489" width="29.375" style="7" customWidth="1"/>
    <col min="11490" max="11490" width="9" style="7" hidden="1" customWidth="1"/>
    <col min="11491" max="11491" width="31.875" style="7" customWidth="1"/>
    <col min="11492" max="11493" width="9" style="7" hidden="1" customWidth="1"/>
    <col min="11494" max="11494" width="16.375" style="7" customWidth="1"/>
    <col min="11495" max="11495" width="9" style="7" hidden="1" customWidth="1"/>
    <col min="11496" max="11497" width="16.375" style="7" customWidth="1"/>
    <col min="11498" max="11522" width="9" style="7" hidden="1" customWidth="1"/>
    <col min="11523" max="11524" width="16.375" style="7" customWidth="1"/>
    <col min="11525" max="11525" width="17.125" style="7" customWidth="1"/>
    <col min="11526" max="11527" width="9" style="7" hidden="1" customWidth="1"/>
    <col min="11528" max="11741" width="9" style="7"/>
    <col min="11742" max="11744" width="9" style="7" hidden="1" customWidth="1"/>
    <col min="11745" max="11745" width="29.375" style="7" customWidth="1"/>
    <col min="11746" max="11746" width="9" style="7" hidden="1" customWidth="1"/>
    <col min="11747" max="11747" width="31.875" style="7" customWidth="1"/>
    <col min="11748" max="11749" width="9" style="7" hidden="1" customWidth="1"/>
    <col min="11750" max="11750" width="16.375" style="7" customWidth="1"/>
    <col min="11751" max="11751" width="9" style="7" hidden="1" customWidth="1"/>
    <col min="11752" max="11753" width="16.375" style="7" customWidth="1"/>
    <col min="11754" max="11778" width="9" style="7" hidden="1" customWidth="1"/>
    <col min="11779" max="11780" width="16.375" style="7" customWidth="1"/>
    <col min="11781" max="11781" width="17.125" style="7" customWidth="1"/>
    <col min="11782" max="11783" width="9" style="7" hidden="1" customWidth="1"/>
    <col min="11784" max="11997" width="9" style="7"/>
    <col min="11998" max="12000" width="9" style="7" hidden="1" customWidth="1"/>
    <col min="12001" max="12001" width="29.375" style="7" customWidth="1"/>
    <col min="12002" max="12002" width="9" style="7" hidden="1" customWidth="1"/>
    <col min="12003" max="12003" width="31.875" style="7" customWidth="1"/>
    <col min="12004" max="12005" width="9" style="7" hidden="1" customWidth="1"/>
    <col min="12006" max="12006" width="16.375" style="7" customWidth="1"/>
    <col min="12007" max="12007" width="9" style="7" hidden="1" customWidth="1"/>
    <col min="12008" max="12009" width="16.375" style="7" customWidth="1"/>
    <col min="12010" max="12034" width="9" style="7" hidden="1" customWidth="1"/>
    <col min="12035" max="12036" width="16.375" style="7" customWidth="1"/>
    <col min="12037" max="12037" width="17.125" style="7" customWidth="1"/>
    <col min="12038" max="12039" width="9" style="7" hidden="1" customWidth="1"/>
    <col min="12040" max="12253" width="9" style="7"/>
    <col min="12254" max="12256" width="9" style="7" hidden="1" customWidth="1"/>
    <col min="12257" max="12257" width="29.375" style="7" customWidth="1"/>
    <col min="12258" max="12258" width="9" style="7" hidden="1" customWidth="1"/>
    <col min="12259" max="12259" width="31.875" style="7" customWidth="1"/>
    <col min="12260" max="12261" width="9" style="7" hidden="1" customWidth="1"/>
    <col min="12262" max="12262" width="16.375" style="7" customWidth="1"/>
    <col min="12263" max="12263" width="9" style="7" hidden="1" customWidth="1"/>
    <col min="12264" max="12265" width="16.375" style="7" customWidth="1"/>
    <col min="12266" max="12290" width="9" style="7" hidden="1" customWidth="1"/>
    <col min="12291" max="12292" width="16.375" style="7" customWidth="1"/>
    <col min="12293" max="12293" width="17.125" style="7" customWidth="1"/>
    <col min="12294" max="12295" width="9" style="7" hidden="1" customWidth="1"/>
    <col min="12296" max="12509" width="9" style="7"/>
    <col min="12510" max="12512" width="9" style="7" hidden="1" customWidth="1"/>
    <col min="12513" max="12513" width="29.375" style="7" customWidth="1"/>
    <col min="12514" max="12514" width="9" style="7" hidden="1" customWidth="1"/>
    <col min="12515" max="12515" width="31.875" style="7" customWidth="1"/>
    <col min="12516" max="12517" width="9" style="7" hidden="1" customWidth="1"/>
    <col min="12518" max="12518" width="16.375" style="7" customWidth="1"/>
    <col min="12519" max="12519" width="9" style="7" hidden="1" customWidth="1"/>
    <col min="12520" max="12521" width="16.375" style="7" customWidth="1"/>
    <col min="12522" max="12546" width="9" style="7" hidden="1" customWidth="1"/>
    <col min="12547" max="12548" width="16.375" style="7" customWidth="1"/>
    <col min="12549" max="12549" width="17.125" style="7" customWidth="1"/>
    <col min="12550" max="12551" width="9" style="7" hidden="1" customWidth="1"/>
    <col min="12552" max="12765" width="9" style="7"/>
    <col min="12766" max="12768" width="9" style="7" hidden="1" customWidth="1"/>
    <col min="12769" max="12769" width="29.375" style="7" customWidth="1"/>
    <col min="12770" max="12770" width="9" style="7" hidden="1" customWidth="1"/>
    <col min="12771" max="12771" width="31.875" style="7" customWidth="1"/>
    <col min="12772" max="12773" width="9" style="7" hidden="1" customWidth="1"/>
    <col min="12774" max="12774" width="16.375" style="7" customWidth="1"/>
    <col min="12775" max="12775" width="9" style="7" hidden="1" customWidth="1"/>
    <col min="12776" max="12777" width="16.375" style="7" customWidth="1"/>
    <col min="12778" max="12802" width="9" style="7" hidden="1" customWidth="1"/>
    <col min="12803" max="12804" width="16.375" style="7" customWidth="1"/>
    <col min="12805" max="12805" width="17.125" style="7" customWidth="1"/>
    <col min="12806" max="12807" width="9" style="7" hidden="1" customWidth="1"/>
    <col min="12808" max="13021" width="9" style="7"/>
    <col min="13022" max="13024" width="9" style="7" hidden="1" customWidth="1"/>
    <col min="13025" max="13025" width="29.375" style="7" customWidth="1"/>
    <col min="13026" max="13026" width="9" style="7" hidden="1" customWidth="1"/>
    <col min="13027" max="13027" width="31.875" style="7" customWidth="1"/>
    <col min="13028" max="13029" width="9" style="7" hidden="1" customWidth="1"/>
    <col min="13030" max="13030" width="16.375" style="7" customWidth="1"/>
    <col min="13031" max="13031" width="9" style="7" hidden="1" customWidth="1"/>
    <col min="13032" max="13033" width="16.375" style="7" customWidth="1"/>
    <col min="13034" max="13058" width="9" style="7" hidden="1" customWidth="1"/>
    <col min="13059" max="13060" width="16.375" style="7" customWidth="1"/>
    <col min="13061" max="13061" width="17.125" style="7" customWidth="1"/>
    <col min="13062" max="13063" width="9" style="7" hidden="1" customWidth="1"/>
    <col min="13064" max="13277" width="9" style="7"/>
    <col min="13278" max="13280" width="9" style="7" hidden="1" customWidth="1"/>
    <col min="13281" max="13281" width="29.375" style="7" customWidth="1"/>
    <col min="13282" max="13282" width="9" style="7" hidden="1" customWidth="1"/>
    <col min="13283" max="13283" width="31.875" style="7" customWidth="1"/>
    <col min="13284" max="13285" width="9" style="7" hidden="1" customWidth="1"/>
    <col min="13286" max="13286" width="16.375" style="7" customWidth="1"/>
    <col min="13287" max="13287" width="9" style="7" hidden="1" customWidth="1"/>
    <col min="13288" max="13289" width="16.375" style="7" customWidth="1"/>
    <col min="13290" max="13314" width="9" style="7" hidden="1" customWidth="1"/>
    <col min="13315" max="13316" width="16.375" style="7" customWidth="1"/>
    <col min="13317" max="13317" width="17.125" style="7" customWidth="1"/>
    <col min="13318" max="13319" width="9" style="7" hidden="1" customWidth="1"/>
    <col min="13320" max="13533" width="9" style="7"/>
    <col min="13534" max="13536" width="9" style="7" hidden="1" customWidth="1"/>
    <col min="13537" max="13537" width="29.375" style="7" customWidth="1"/>
    <col min="13538" max="13538" width="9" style="7" hidden="1" customWidth="1"/>
    <col min="13539" max="13539" width="31.875" style="7" customWidth="1"/>
    <col min="13540" max="13541" width="9" style="7" hidden="1" customWidth="1"/>
    <col min="13542" max="13542" width="16.375" style="7" customWidth="1"/>
    <col min="13543" max="13543" width="9" style="7" hidden="1" customWidth="1"/>
    <col min="13544" max="13545" width="16.375" style="7" customWidth="1"/>
    <col min="13546" max="13570" width="9" style="7" hidden="1" customWidth="1"/>
    <col min="13571" max="13572" width="16.375" style="7" customWidth="1"/>
    <col min="13573" max="13573" width="17.125" style="7" customWidth="1"/>
    <col min="13574" max="13575" width="9" style="7" hidden="1" customWidth="1"/>
    <col min="13576" max="13789" width="9" style="7"/>
    <col min="13790" max="13792" width="9" style="7" hidden="1" customWidth="1"/>
    <col min="13793" max="13793" width="29.375" style="7" customWidth="1"/>
    <col min="13794" max="13794" width="9" style="7" hidden="1" customWidth="1"/>
    <col min="13795" max="13795" width="31.875" style="7" customWidth="1"/>
    <col min="13796" max="13797" width="9" style="7" hidden="1" customWidth="1"/>
    <col min="13798" max="13798" width="16.375" style="7" customWidth="1"/>
    <col min="13799" max="13799" width="9" style="7" hidden="1" customWidth="1"/>
    <col min="13800" max="13801" width="16.375" style="7" customWidth="1"/>
    <col min="13802" max="13826" width="9" style="7" hidden="1" customWidth="1"/>
    <col min="13827" max="13828" width="16.375" style="7" customWidth="1"/>
    <col min="13829" max="13829" width="17.125" style="7" customWidth="1"/>
    <col min="13830" max="13831" width="9" style="7" hidden="1" customWidth="1"/>
    <col min="13832" max="14045" width="9" style="7"/>
    <col min="14046" max="14048" width="9" style="7" hidden="1" customWidth="1"/>
    <col min="14049" max="14049" width="29.375" style="7" customWidth="1"/>
    <col min="14050" max="14050" width="9" style="7" hidden="1" customWidth="1"/>
    <col min="14051" max="14051" width="31.875" style="7" customWidth="1"/>
    <col min="14052" max="14053" width="9" style="7" hidden="1" customWidth="1"/>
    <col min="14054" max="14054" width="16.375" style="7" customWidth="1"/>
    <col min="14055" max="14055" width="9" style="7" hidden="1" customWidth="1"/>
    <col min="14056" max="14057" width="16.375" style="7" customWidth="1"/>
    <col min="14058" max="14082" width="9" style="7" hidden="1" customWidth="1"/>
    <col min="14083" max="14084" width="16.375" style="7" customWidth="1"/>
    <col min="14085" max="14085" width="17.125" style="7" customWidth="1"/>
    <col min="14086" max="14087" width="9" style="7" hidden="1" customWidth="1"/>
    <col min="14088" max="14301" width="9" style="7"/>
    <col min="14302" max="14304" width="9" style="7" hidden="1" customWidth="1"/>
    <col min="14305" max="14305" width="29.375" style="7" customWidth="1"/>
    <col min="14306" max="14306" width="9" style="7" hidden="1" customWidth="1"/>
    <col min="14307" max="14307" width="31.875" style="7" customWidth="1"/>
    <col min="14308" max="14309" width="9" style="7" hidden="1" customWidth="1"/>
    <col min="14310" max="14310" width="16.375" style="7" customWidth="1"/>
    <col min="14311" max="14311" width="9" style="7" hidden="1" customWidth="1"/>
    <col min="14312" max="14313" width="16.375" style="7" customWidth="1"/>
    <col min="14314" max="14338" width="9" style="7" hidden="1" customWidth="1"/>
    <col min="14339" max="14340" width="16.375" style="7" customWidth="1"/>
    <col min="14341" max="14341" width="17.125" style="7" customWidth="1"/>
    <col min="14342" max="14343" width="9" style="7" hidden="1" customWidth="1"/>
    <col min="14344" max="14557" width="9" style="7"/>
    <col min="14558" max="14560" width="9" style="7" hidden="1" customWidth="1"/>
    <col min="14561" max="14561" width="29.375" style="7" customWidth="1"/>
    <col min="14562" max="14562" width="9" style="7" hidden="1" customWidth="1"/>
    <col min="14563" max="14563" width="31.875" style="7" customWidth="1"/>
    <col min="14564" max="14565" width="9" style="7" hidden="1" customWidth="1"/>
    <col min="14566" max="14566" width="16.375" style="7" customWidth="1"/>
    <col min="14567" max="14567" width="9" style="7" hidden="1" customWidth="1"/>
    <col min="14568" max="14569" width="16.375" style="7" customWidth="1"/>
    <col min="14570" max="14594" width="9" style="7" hidden="1" customWidth="1"/>
    <col min="14595" max="14596" width="16.375" style="7" customWidth="1"/>
    <col min="14597" max="14597" width="17.125" style="7" customWidth="1"/>
    <col min="14598" max="14599" width="9" style="7" hidden="1" customWidth="1"/>
    <col min="14600" max="14813" width="9" style="7"/>
    <col min="14814" max="14816" width="9" style="7" hidden="1" customWidth="1"/>
    <col min="14817" max="14817" width="29.375" style="7" customWidth="1"/>
    <col min="14818" max="14818" width="9" style="7" hidden="1" customWidth="1"/>
    <col min="14819" max="14819" width="31.875" style="7" customWidth="1"/>
    <col min="14820" max="14821" width="9" style="7" hidden="1" customWidth="1"/>
    <col min="14822" max="14822" width="16.375" style="7" customWidth="1"/>
    <col min="14823" max="14823" width="9" style="7" hidden="1" customWidth="1"/>
    <col min="14824" max="14825" width="16.375" style="7" customWidth="1"/>
    <col min="14826" max="14850" width="9" style="7" hidden="1" customWidth="1"/>
    <col min="14851" max="14852" width="16.375" style="7" customWidth="1"/>
    <col min="14853" max="14853" width="17.125" style="7" customWidth="1"/>
    <col min="14854" max="14855" width="9" style="7" hidden="1" customWidth="1"/>
    <col min="14856" max="15069" width="9" style="7"/>
    <col min="15070" max="15072" width="9" style="7" hidden="1" customWidth="1"/>
    <col min="15073" max="15073" width="29.375" style="7" customWidth="1"/>
    <col min="15074" max="15074" width="9" style="7" hidden="1" customWidth="1"/>
    <col min="15075" max="15075" width="31.875" style="7" customWidth="1"/>
    <col min="15076" max="15077" width="9" style="7" hidden="1" customWidth="1"/>
    <col min="15078" max="15078" width="16.375" style="7" customWidth="1"/>
    <col min="15079" max="15079" width="9" style="7" hidden="1" customWidth="1"/>
    <col min="15080" max="15081" width="16.375" style="7" customWidth="1"/>
    <col min="15082" max="15106" width="9" style="7" hidden="1" customWidth="1"/>
    <col min="15107" max="15108" width="16.375" style="7" customWidth="1"/>
    <col min="15109" max="15109" width="17.125" style="7" customWidth="1"/>
    <col min="15110" max="15111" width="9" style="7" hidden="1" customWidth="1"/>
    <col min="15112" max="15325" width="9" style="7"/>
    <col min="15326" max="15328" width="9" style="7" hidden="1" customWidth="1"/>
    <col min="15329" max="15329" width="29.375" style="7" customWidth="1"/>
    <col min="15330" max="15330" width="9" style="7" hidden="1" customWidth="1"/>
    <col min="15331" max="15331" width="31.875" style="7" customWidth="1"/>
    <col min="15332" max="15333" width="9" style="7" hidden="1" customWidth="1"/>
    <col min="15334" max="15334" width="16.375" style="7" customWidth="1"/>
    <col min="15335" max="15335" width="9" style="7" hidden="1" customWidth="1"/>
    <col min="15336" max="15337" width="16.375" style="7" customWidth="1"/>
    <col min="15338" max="15362" width="9" style="7" hidden="1" customWidth="1"/>
    <col min="15363" max="15364" width="16.375" style="7" customWidth="1"/>
    <col min="15365" max="15365" width="17.125" style="7" customWidth="1"/>
    <col min="15366" max="15367" width="9" style="7" hidden="1" customWidth="1"/>
    <col min="15368" max="15581" width="9" style="7"/>
    <col min="15582" max="15584" width="9" style="7" hidden="1" customWidth="1"/>
    <col min="15585" max="15585" width="29.375" style="7" customWidth="1"/>
    <col min="15586" max="15586" width="9" style="7" hidden="1" customWidth="1"/>
    <col min="15587" max="15587" width="31.875" style="7" customWidth="1"/>
    <col min="15588" max="15589" width="9" style="7" hidden="1" customWidth="1"/>
    <col min="15590" max="15590" width="16.375" style="7" customWidth="1"/>
    <col min="15591" max="15591" width="9" style="7" hidden="1" customWidth="1"/>
    <col min="15592" max="15593" width="16.375" style="7" customWidth="1"/>
    <col min="15594" max="15618" width="9" style="7" hidden="1" customWidth="1"/>
    <col min="15619" max="15620" width="16.375" style="7" customWidth="1"/>
    <col min="15621" max="15621" width="17.125" style="7" customWidth="1"/>
    <col min="15622" max="15623" width="9" style="7" hidden="1" customWidth="1"/>
    <col min="15624" max="15837" width="9" style="7"/>
    <col min="15838" max="15840" width="9" style="7" hidden="1" customWidth="1"/>
    <col min="15841" max="15841" width="29.375" style="7" customWidth="1"/>
    <col min="15842" max="15842" width="9" style="7" hidden="1" customWidth="1"/>
    <col min="15843" max="15843" width="31.875" style="7" customWidth="1"/>
    <col min="15844" max="15845" width="9" style="7" hidden="1" customWidth="1"/>
    <col min="15846" max="15846" width="16.375" style="7" customWidth="1"/>
    <col min="15847" max="15847" width="9" style="7" hidden="1" customWidth="1"/>
    <col min="15848" max="15849" width="16.375" style="7" customWidth="1"/>
    <col min="15850" max="15874" width="9" style="7" hidden="1" customWidth="1"/>
    <col min="15875" max="15876" width="16.375" style="7" customWidth="1"/>
    <col min="15877" max="15877" width="17.125" style="7" customWidth="1"/>
    <col min="15878" max="15879" width="9" style="7" hidden="1" customWidth="1"/>
    <col min="15880" max="16093" width="9" style="7"/>
    <col min="16094" max="16096" width="9" style="7" hidden="1" customWidth="1"/>
    <col min="16097" max="16097" width="29.375" style="7" customWidth="1"/>
    <col min="16098" max="16098" width="9" style="7" hidden="1" customWidth="1"/>
    <col min="16099" max="16099" width="31.875" style="7" customWidth="1"/>
    <col min="16100" max="16101" width="9" style="7" hidden="1" customWidth="1"/>
    <col min="16102" max="16102" width="16.375" style="7" customWidth="1"/>
    <col min="16103" max="16103" width="9" style="7" hidden="1" customWidth="1"/>
    <col min="16104" max="16105" width="16.375" style="7" customWidth="1"/>
    <col min="16106" max="16130" width="9" style="7" hidden="1" customWidth="1"/>
    <col min="16131" max="16132" width="16.375" style="7" customWidth="1"/>
    <col min="16133" max="16133" width="17.125" style="7" customWidth="1"/>
    <col min="16134" max="16135" width="9" style="7" hidden="1" customWidth="1"/>
    <col min="16136" max="16384" width="9" style="7"/>
  </cols>
  <sheetData>
    <row r="1" s="1" customFormat="1" ht="20.1" customHeight="1" spans="1:7">
      <c r="A1" s="8" t="s">
        <v>474</v>
      </c>
      <c r="B1" s="9"/>
      <c r="C1" s="10"/>
      <c r="D1" s="9"/>
      <c r="E1" s="11"/>
      <c r="F1" s="11"/>
      <c r="G1" s="11"/>
    </row>
    <row r="2" s="1" customFormat="1" ht="31.5" spans="1:7">
      <c r="A2" s="12" t="s">
        <v>475</v>
      </c>
      <c r="B2" s="12"/>
      <c r="C2" s="12"/>
      <c r="D2" s="12"/>
      <c r="E2" s="12"/>
      <c r="F2" s="12"/>
      <c r="G2" s="12"/>
    </row>
    <row r="3" ht="13.5" spans="1:7">
      <c r="A3" s="9"/>
      <c r="B3" s="9"/>
      <c r="C3" s="10"/>
      <c r="D3" s="13"/>
      <c r="G3" s="13" t="s">
        <v>2</v>
      </c>
    </row>
    <row r="4" s="2" customFormat="1" ht="28.5" spans="1:7">
      <c r="A4" s="14" t="s">
        <v>244</v>
      </c>
      <c r="B4" s="14" t="s">
        <v>248</v>
      </c>
      <c r="C4" s="14" t="s">
        <v>476</v>
      </c>
      <c r="D4" s="15" t="s">
        <v>170</v>
      </c>
      <c r="E4" s="14" t="s">
        <v>171</v>
      </c>
      <c r="F4" s="14" t="s">
        <v>477</v>
      </c>
      <c r="G4" s="14" t="s">
        <v>478</v>
      </c>
    </row>
    <row r="5" s="3" customFormat="1" ht="19.5" customHeight="1" spans="1:7">
      <c r="A5" s="16" t="s">
        <v>473</v>
      </c>
      <c r="B5" s="17"/>
      <c r="C5" s="17"/>
      <c r="D5" s="18">
        <f>SUM(D6:D24)</f>
        <v>75000</v>
      </c>
      <c r="E5" s="18">
        <f t="shared" ref="E5:F5" si="0">SUM(E6:E24)</f>
        <v>75000</v>
      </c>
      <c r="F5" s="18">
        <f t="shared" si="0"/>
        <v>75000</v>
      </c>
      <c r="G5" s="19"/>
    </row>
    <row r="6" s="2" customFormat="1" ht="19.5" customHeight="1" spans="1:7">
      <c r="A6" s="20" t="s">
        <v>479</v>
      </c>
      <c r="B6" s="21" t="s">
        <v>480</v>
      </c>
      <c r="C6" s="22" t="s">
        <v>481</v>
      </c>
      <c r="D6" s="23">
        <v>2000</v>
      </c>
      <c r="E6" s="23">
        <v>2000</v>
      </c>
      <c r="F6" s="23">
        <v>2000</v>
      </c>
      <c r="G6" s="24"/>
    </row>
    <row r="7" s="2" customFormat="1" ht="19.5" customHeight="1" spans="1:7">
      <c r="A7" s="20" t="s">
        <v>482</v>
      </c>
      <c r="B7" s="21" t="s">
        <v>483</v>
      </c>
      <c r="C7" s="22" t="s">
        <v>481</v>
      </c>
      <c r="D7" s="23">
        <v>4000</v>
      </c>
      <c r="E7" s="23">
        <v>4000</v>
      </c>
      <c r="F7" s="23">
        <v>4000</v>
      </c>
      <c r="G7" s="24"/>
    </row>
    <row r="8" s="2" customFormat="1" ht="19.5" customHeight="1" spans="1:7">
      <c r="A8" s="20" t="s">
        <v>484</v>
      </c>
      <c r="B8" s="21" t="s">
        <v>485</v>
      </c>
      <c r="C8" s="22" t="s">
        <v>481</v>
      </c>
      <c r="D8" s="23">
        <v>1000</v>
      </c>
      <c r="E8" s="23">
        <v>1000</v>
      </c>
      <c r="F8" s="23">
        <v>1000</v>
      </c>
      <c r="G8" s="24"/>
    </row>
    <row r="9" s="2" customFormat="1" ht="19.5" customHeight="1" spans="1:7">
      <c r="A9" s="20" t="s">
        <v>486</v>
      </c>
      <c r="B9" s="21" t="s">
        <v>487</v>
      </c>
      <c r="C9" s="22" t="s">
        <v>481</v>
      </c>
      <c r="D9" s="23">
        <v>3000</v>
      </c>
      <c r="E9" s="23">
        <v>3000</v>
      </c>
      <c r="F9" s="23">
        <v>3000</v>
      </c>
      <c r="G9" s="24"/>
    </row>
    <row r="10" s="2" customFormat="1" ht="19.5" customHeight="1" spans="1:7">
      <c r="A10" s="25" t="s">
        <v>488</v>
      </c>
      <c r="B10" s="26" t="s">
        <v>489</v>
      </c>
      <c r="C10" s="27" t="s">
        <v>490</v>
      </c>
      <c r="D10" s="28">
        <f>3000+1300</f>
        <v>4300</v>
      </c>
      <c r="E10" s="28">
        <f>3000+1300</f>
        <v>4300</v>
      </c>
      <c r="F10" s="28">
        <f>3000+1300</f>
        <v>4300</v>
      </c>
      <c r="G10" s="29"/>
    </row>
    <row r="11" s="2" customFormat="1" ht="19.5" customHeight="1" spans="1:7">
      <c r="A11" s="25" t="s">
        <v>488</v>
      </c>
      <c r="B11" s="26" t="s">
        <v>491</v>
      </c>
      <c r="C11" s="27" t="s">
        <v>490</v>
      </c>
      <c r="D11" s="28">
        <v>500</v>
      </c>
      <c r="E11" s="28">
        <v>500</v>
      </c>
      <c r="F11" s="28">
        <v>500</v>
      </c>
      <c r="G11" s="30"/>
    </row>
    <row r="12" s="2" customFormat="1" ht="42" customHeight="1" spans="1:7">
      <c r="A12" s="25" t="s">
        <v>488</v>
      </c>
      <c r="B12" s="31" t="s">
        <v>492</v>
      </c>
      <c r="C12" s="27" t="s">
        <v>490</v>
      </c>
      <c r="D12" s="28">
        <v>500</v>
      </c>
      <c r="E12" s="28">
        <v>500</v>
      </c>
      <c r="F12" s="28">
        <v>500</v>
      </c>
      <c r="G12" s="30"/>
    </row>
    <row r="13" s="2" customFormat="1" ht="19.5" customHeight="1" spans="1:7">
      <c r="A13" s="25" t="s">
        <v>488</v>
      </c>
      <c r="B13" s="31" t="s">
        <v>493</v>
      </c>
      <c r="C13" s="27" t="s">
        <v>490</v>
      </c>
      <c r="D13" s="28">
        <v>150</v>
      </c>
      <c r="E13" s="28">
        <v>150</v>
      </c>
      <c r="F13" s="28">
        <v>150</v>
      </c>
      <c r="G13" s="30"/>
    </row>
    <row r="14" s="2" customFormat="1" ht="19.5" customHeight="1" spans="1:7">
      <c r="A14" s="25" t="s">
        <v>488</v>
      </c>
      <c r="B14" s="26" t="s">
        <v>494</v>
      </c>
      <c r="C14" s="27" t="s">
        <v>490</v>
      </c>
      <c r="D14" s="28">
        <f>7900+8500</f>
        <v>16400</v>
      </c>
      <c r="E14" s="28">
        <f>7900+8500</f>
        <v>16400</v>
      </c>
      <c r="F14" s="28">
        <f>7900+8500</f>
        <v>16400</v>
      </c>
      <c r="G14" s="30"/>
    </row>
    <row r="15" s="2" customFormat="1" ht="19.5" customHeight="1" spans="1:7">
      <c r="A15" s="25" t="s">
        <v>495</v>
      </c>
      <c r="B15" s="26" t="s">
        <v>496</v>
      </c>
      <c r="C15" s="27" t="s">
        <v>490</v>
      </c>
      <c r="D15" s="28">
        <f>10000+3500</f>
        <v>13500</v>
      </c>
      <c r="E15" s="28">
        <f>10000+3500</f>
        <v>13500</v>
      </c>
      <c r="F15" s="28">
        <f>10000+3500</f>
        <v>13500</v>
      </c>
      <c r="G15" s="30"/>
    </row>
    <row r="16" s="2" customFormat="1" ht="19.5" customHeight="1" spans="1:7">
      <c r="A16" s="25" t="s">
        <v>495</v>
      </c>
      <c r="B16" s="31" t="s">
        <v>497</v>
      </c>
      <c r="C16" s="27" t="s">
        <v>490</v>
      </c>
      <c r="D16" s="28">
        <v>2000</v>
      </c>
      <c r="E16" s="28">
        <v>2000</v>
      </c>
      <c r="F16" s="28">
        <v>2000</v>
      </c>
      <c r="G16" s="30"/>
    </row>
    <row r="17" s="2" customFormat="1" ht="19.5" customHeight="1" spans="1:7">
      <c r="A17" s="25" t="s">
        <v>495</v>
      </c>
      <c r="B17" s="31" t="s">
        <v>498</v>
      </c>
      <c r="C17" s="27" t="s">
        <v>490</v>
      </c>
      <c r="D17" s="28">
        <v>5200</v>
      </c>
      <c r="E17" s="28">
        <v>5200</v>
      </c>
      <c r="F17" s="28">
        <v>5200</v>
      </c>
      <c r="G17" s="30"/>
    </row>
    <row r="18" s="2" customFormat="1" ht="19.5" customHeight="1" spans="1:7">
      <c r="A18" s="25" t="s">
        <v>499</v>
      </c>
      <c r="B18" s="26" t="s">
        <v>500</v>
      </c>
      <c r="C18" s="27" t="s">
        <v>490</v>
      </c>
      <c r="D18" s="28">
        <v>1500</v>
      </c>
      <c r="E18" s="28">
        <v>1500</v>
      </c>
      <c r="F18" s="28">
        <v>1500</v>
      </c>
      <c r="G18" s="30"/>
    </row>
    <row r="19" s="2" customFormat="1" ht="30" customHeight="1" spans="1:7">
      <c r="A19" s="25" t="s">
        <v>501</v>
      </c>
      <c r="B19" s="26" t="s">
        <v>502</v>
      </c>
      <c r="C19" s="27" t="s">
        <v>490</v>
      </c>
      <c r="D19" s="28">
        <v>450</v>
      </c>
      <c r="E19" s="28">
        <v>450</v>
      </c>
      <c r="F19" s="28">
        <v>450</v>
      </c>
      <c r="G19" s="30"/>
    </row>
    <row r="20" s="2" customFormat="1" ht="42" customHeight="1" spans="1:7">
      <c r="A20" s="25" t="s">
        <v>503</v>
      </c>
      <c r="B20" s="26" t="s">
        <v>504</v>
      </c>
      <c r="C20" s="27" t="s">
        <v>490</v>
      </c>
      <c r="D20" s="28">
        <v>3000</v>
      </c>
      <c r="E20" s="28">
        <v>3000</v>
      </c>
      <c r="F20" s="28">
        <v>3000</v>
      </c>
      <c r="G20" s="30"/>
    </row>
    <row r="21" s="2" customFormat="1" ht="30" customHeight="1" spans="1:7">
      <c r="A21" s="25" t="s">
        <v>505</v>
      </c>
      <c r="B21" s="26" t="s">
        <v>506</v>
      </c>
      <c r="C21" s="27" t="s">
        <v>490</v>
      </c>
      <c r="D21" s="28">
        <f>2000+1000</f>
        <v>3000</v>
      </c>
      <c r="E21" s="28">
        <f>2000+1000</f>
        <v>3000</v>
      </c>
      <c r="F21" s="28">
        <f>2000+1000</f>
        <v>3000</v>
      </c>
      <c r="G21" s="30"/>
    </row>
    <row r="22" s="2" customFormat="1" ht="19.5" customHeight="1" spans="1:7">
      <c r="A22" s="25" t="s">
        <v>507</v>
      </c>
      <c r="B22" s="26" t="s">
        <v>508</v>
      </c>
      <c r="C22" s="27" t="s">
        <v>490</v>
      </c>
      <c r="D22" s="28">
        <v>1000</v>
      </c>
      <c r="E22" s="28">
        <v>1000</v>
      </c>
      <c r="F22" s="28">
        <v>1000</v>
      </c>
      <c r="G22" s="30"/>
    </row>
    <row r="23" s="2" customFormat="1" ht="19.5" customHeight="1" spans="1:7">
      <c r="A23" s="25" t="s">
        <v>507</v>
      </c>
      <c r="B23" s="26" t="s">
        <v>509</v>
      </c>
      <c r="C23" s="27" t="s">
        <v>490</v>
      </c>
      <c r="D23" s="28">
        <f>10000+1000</f>
        <v>11000</v>
      </c>
      <c r="E23" s="28">
        <f>10000+1000</f>
        <v>11000</v>
      </c>
      <c r="F23" s="28">
        <f>10000+1000</f>
        <v>11000</v>
      </c>
      <c r="G23" s="30"/>
    </row>
    <row r="24" s="2" customFormat="1" ht="30" customHeight="1" spans="1:7">
      <c r="A24" s="25" t="s">
        <v>486</v>
      </c>
      <c r="B24" s="26" t="s">
        <v>487</v>
      </c>
      <c r="C24" s="27" t="s">
        <v>490</v>
      </c>
      <c r="D24" s="28">
        <v>2500</v>
      </c>
      <c r="E24" s="28">
        <v>2500</v>
      </c>
      <c r="F24" s="28">
        <v>2500</v>
      </c>
      <c r="G24" s="24"/>
    </row>
    <row r="36" spans="2:10">
      <c r="B36" s="32"/>
      <c r="C36" s="33"/>
      <c r="D36" s="34"/>
      <c r="E36" s="32"/>
      <c r="F36" s="32"/>
      <c r="G36" s="32"/>
      <c r="H36" s="35"/>
      <c r="I36" s="35"/>
      <c r="J36" s="35"/>
    </row>
    <row r="37" spans="2:10">
      <c r="B37" s="32"/>
      <c r="C37" s="33"/>
      <c r="D37" s="34"/>
      <c r="E37" s="32"/>
      <c r="F37" s="32"/>
      <c r="G37" s="32"/>
      <c r="H37" s="35"/>
      <c r="I37" s="35"/>
      <c r="J37" s="35"/>
    </row>
    <row r="38" spans="2:10">
      <c r="B38" s="32"/>
      <c r="C38" s="33"/>
      <c r="D38" s="34"/>
      <c r="E38" s="32"/>
      <c r="F38" s="32"/>
      <c r="G38" s="32"/>
      <c r="H38" s="35"/>
      <c r="I38" s="35"/>
      <c r="J38" s="35"/>
    </row>
    <row r="39" spans="2:10">
      <c r="B39" s="32"/>
      <c r="C39" s="33"/>
      <c r="D39" s="34"/>
      <c r="E39" s="32"/>
      <c r="F39" s="32"/>
      <c r="G39" s="32"/>
      <c r="H39" s="35"/>
      <c r="I39" s="35"/>
      <c r="J39" s="35"/>
    </row>
    <row r="40" spans="2:10">
      <c r="B40" s="32"/>
      <c r="C40" s="33"/>
      <c r="D40" s="34"/>
      <c r="E40" s="32"/>
      <c r="F40" s="32"/>
      <c r="G40" s="32"/>
      <c r="H40" s="35"/>
      <c r="I40" s="35"/>
      <c r="J40" s="35"/>
    </row>
    <row r="41" spans="2:10">
      <c r="B41" s="32"/>
      <c r="C41" s="33"/>
      <c r="D41" s="34"/>
      <c r="E41" s="32"/>
      <c r="F41" s="32"/>
      <c r="G41" s="32"/>
      <c r="H41" s="35"/>
      <c r="I41" s="35"/>
      <c r="J41" s="35"/>
    </row>
    <row r="42" spans="2:10">
      <c r="B42" s="32"/>
      <c r="C42" s="33"/>
      <c r="D42" s="34"/>
      <c r="E42" s="32"/>
      <c r="F42" s="32"/>
      <c r="G42" s="32"/>
      <c r="H42" s="35"/>
      <c r="I42" s="35"/>
      <c r="J42" s="35"/>
    </row>
    <row r="43" spans="2:10">
      <c r="B43" s="32"/>
      <c r="C43" s="33"/>
      <c r="D43" s="34"/>
      <c r="E43" s="32"/>
      <c r="F43" s="32"/>
      <c r="G43" s="32"/>
      <c r="H43" s="35"/>
      <c r="I43" s="35"/>
      <c r="J43" s="35"/>
    </row>
    <row r="44" spans="2:10">
      <c r="B44" s="32"/>
      <c r="C44" s="33"/>
      <c r="D44" s="34"/>
      <c r="E44" s="32"/>
      <c r="F44" s="32"/>
      <c r="G44" s="32"/>
      <c r="H44" s="35"/>
      <c r="I44" s="35"/>
      <c r="J44" s="35"/>
    </row>
    <row r="45" spans="2:10">
      <c r="B45" s="32"/>
      <c r="C45" s="33"/>
      <c r="D45" s="34"/>
      <c r="E45" s="32"/>
      <c r="F45" s="32"/>
      <c r="G45" s="32"/>
      <c r="H45" s="35"/>
      <c r="I45" s="35"/>
      <c r="J45" s="35"/>
    </row>
    <row r="46" spans="2:10">
      <c r="B46" s="32"/>
      <c r="C46" s="33"/>
      <c r="D46" s="34"/>
      <c r="E46" s="32"/>
      <c r="F46" s="32"/>
      <c r="G46" s="32"/>
      <c r="H46" s="35"/>
      <c r="I46" s="35"/>
      <c r="J46" s="35"/>
    </row>
    <row r="47" spans="2:10">
      <c r="B47" s="32"/>
      <c r="C47" s="33"/>
      <c r="D47" s="34"/>
      <c r="E47" s="32"/>
      <c r="F47" s="32"/>
      <c r="G47" s="32"/>
      <c r="H47" s="35"/>
      <c r="I47" s="35"/>
      <c r="J47" s="35"/>
    </row>
    <row r="48" spans="2:10">
      <c r="B48" s="32"/>
      <c r="C48" s="33"/>
      <c r="D48" s="34"/>
      <c r="E48" s="32"/>
      <c r="F48" s="32"/>
      <c r="G48" s="32"/>
      <c r="H48" s="35"/>
      <c r="I48" s="35"/>
      <c r="J48" s="35"/>
    </row>
    <row r="49" spans="2:10">
      <c r="B49" s="32"/>
      <c r="C49" s="33"/>
      <c r="D49" s="34"/>
      <c r="E49" s="32"/>
      <c r="F49" s="32"/>
      <c r="G49" s="32"/>
      <c r="H49" s="35"/>
      <c r="I49" s="35"/>
      <c r="J49" s="35"/>
    </row>
    <row r="50" spans="2:10">
      <c r="B50" s="32"/>
      <c r="C50" s="33"/>
      <c r="D50" s="34"/>
      <c r="E50" s="32"/>
      <c r="F50" s="32"/>
      <c r="G50" s="32"/>
      <c r="H50" s="35"/>
      <c r="I50" s="35"/>
      <c r="J50" s="35"/>
    </row>
    <row r="51" spans="2:10">
      <c r="B51" s="32"/>
      <c r="C51" s="33"/>
      <c r="D51" s="34"/>
      <c r="E51" s="32"/>
      <c r="F51" s="32"/>
      <c r="G51" s="32"/>
      <c r="H51" s="35"/>
      <c r="I51" s="35"/>
      <c r="J51" s="35"/>
    </row>
    <row r="52" spans="2:10">
      <c r="B52" s="32"/>
      <c r="C52" s="33"/>
      <c r="D52" s="34"/>
      <c r="E52" s="32"/>
      <c r="F52" s="32"/>
      <c r="G52" s="32"/>
      <c r="H52" s="35"/>
      <c r="I52" s="35"/>
      <c r="J52" s="35"/>
    </row>
    <row r="53" spans="2:10">
      <c r="B53" s="32"/>
      <c r="C53" s="33"/>
      <c r="D53" s="34"/>
      <c r="E53" s="32"/>
      <c r="F53" s="32"/>
      <c r="G53" s="32"/>
      <c r="H53" s="35"/>
      <c r="I53" s="35"/>
      <c r="J53" s="35"/>
    </row>
  </sheetData>
  <mergeCells count="2">
    <mergeCell ref="A2:G2"/>
    <mergeCell ref="A5:B5"/>
  </mergeCells>
  <printOptions horizontalCentered="1"/>
  <pageMargins left="0.590551181102362" right="0.590551181102362" top="0.393700787401575" bottom="0.393700787401575" header="0.31496062992126" footer="0.196850393700787"/>
  <pageSetup paperSize="9" scale="94"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一般支出调整汇总</vt:lpstr>
      <vt:lpstr>一般收支平衡调整</vt:lpstr>
      <vt:lpstr>基金收支平衡调整</vt:lpstr>
      <vt:lpstr>收入表</vt:lpstr>
      <vt:lpstr>支出分类表</vt:lpstr>
      <vt:lpstr>支出明细表</vt:lpstr>
      <vt:lpstr>债务明细表</vt:lpstr>
      <vt:lpstr>新增债券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饭小饭的秋天</cp:lastModifiedBy>
  <dcterms:created xsi:type="dcterms:W3CDTF">2008-09-11T17:22:00Z</dcterms:created>
  <cp:lastPrinted>2019-12-31T12:41:00Z</cp:lastPrinted>
  <dcterms:modified xsi:type="dcterms:W3CDTF">2021-06-25T06:26:08Z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E4EB0C1563034806A7F928357D387434</vt:lpwstr>
  </property>
  <property fmtid="{D5CDD505-2E9C-101B-9397-08002B2CF9AE}" pid="3" name="KSOProductBuildVer">
    <vt:lpwstr>2052-11.1.0.10578</vt:lpwstr>
  </property>
</Properties>
</file>