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11700" tabRatio="936"/>
  </bookViews>
  <sheets>
    <sheet name="一般收支平衡表" sheetId="8" r:id="rId1"/>
    <sheet name="基金收支平衡表" sheetId="13" r:id="rId2"/>
    <sheet name="收入明细表" sheetId="15" r:id="rId3"/>
    <sheet name="支出明细表" sheetId="14" r:id="rId4"/>
    <sheet name="支出分类表" sheetId="16" r:id="rId5"/>
    <sheet name="社会保险基金总表" sheetId="21" r:id="rId6"/>
    <sheet name="城乡居民" sheetId="22" r:id="rId7"/>
    <sheet name="机关事业单位" sheetId="23" r:id="rId8"/>
    <sheet name="债务明细表" sheetId="24" r:id="rId9"/>
    <sheet name="新增债券支出" sheetId="18" r:id="rId10"/>
    <sheet name="往来资金" sheetId="19" state="hidden" r:id="rId11"/>
  </sheets>
  <definedNames>
    <definedName name="_xlnm.Print_Area" localSheetId="1">基金收支平衡表!$A$1:$X$23</definedName>
    <definedName name="_xlnm.Print_Area" localSheetId="5">社会保险基金总表!$A$1:$F$23</definedName>
    <definedName name="_xlnm.Print_Area" localSheetId="9">新增债券支出!$A$1:$L$13</definedName>
    <definedName name="_xlnm.Print_Area" localSheetId="0">一般收支平衡表!$A$1:$X$36</definedName>
    <definedName name="_xlnm.Print_Area" localSheetId="8">债务明细表!$A$1:$S$59</definedName>
    <definedName name="_xlnm.Print_Area" localSheetId="4">支出分类表!$A$1:$K$29</definedName>
    <definedName name="_xlnm.Print_Area" localSheetId="3">支出明细表!$A$1:$E$35</definedName>
    <definedName name="_xlnm.Print_Titles" localSheetId="0">一般收支平衡表!$1:$5</definedName>
    <definedName name="_xlnm.Print_Titles" localSheetId="8">债务明细表!$4:$4</definedName>
  </definedNames>
  <calcPr calcId="125725"/>
</workbook>
</file>

<file path=xl/calcChain.xml><?xml version="1.0" encoding="utf-8"?>
<calcChain xmlns="http://schemas.openxmlformats.org/spreadsheetml/2006/main">
  <c r="T39" i="8"/>
  <c r="T34"/>
  <c r="T33"/>
  <c r="AA8"/>
  <c r="I6"/>
  <c r="C28" i="16"/>
  <c r="C27"/>
  <c r="C24"/>
  <c r="C23"/>
  <c r="C22"/>
  <c r="C21"/>
  <c r="C20"/>
  <c r="C19"/>
  <c r="C18"/>
  <c r="C17"/>
  <c r="C16"/>
  <c r="C15"/>
  <c r="C14"/>
  <c r="C13"/>
  <c r="C12"/>
  <c r="C11"/>
  <c r="C10"/>
  <c r="C9"/>
  <c r="C8"/>
  <c r="C7"/>
  <c r="C6"/>
  <c r="Z33" i="8"/>
  <c r="B22" i="14"/>
  <c r="B10"/>
  <c r="B19"/>
  <c r="B27"/>
  <c r="B35"/>
  <c r="B34"/>
  <c r="B33"/>
  <c r="B31"/>
  <c r="B30"/>
  <c r="B29"/>
  <c r="F13" i="15"/>
  <c r="H18"/>
  <c r="H17"/>
  <c r="F17"/>
  <c r="U7" i="13"/>
  <c r="U8"/>
  <c r="U9"/>
  <c r="U10"/>
  <c r="U11"/>
  <c r="U12"/>
  <c r="U13"/>
  <c r="U14"/>
  <c r="U15"/>
  <c r="U16"/>
  <c r="U17"/>
  <c r="U18"/>
  <c r="U19"/>
  <c r="U20"/>
  <c r="U21"/>
  <c r="U22"/>
  <c r="U23"/>
  <c r="U6"/>
  <c r="I7"/>
  <c r="I8"/>
  <c r="I9"/>
  <c r="I10"/>
  <c r="I11"/>
  <c r="I12"/>
  <c r="I13"/>
  <c r="I14"/>
  <c r="I15"/>
  <c r="I16"/>
  <c r="I17"/>
  <c r="I18"/>
  <c r="I19"/>
  <c r="I20"/>
  <c r="I21"/>
  <c r="I22"/>
  <c r="I23"/>
  <c r="I6"/>
  <c r="V6"/>
  <c r="J6" i="8"/>
  <c r="U34"/>
  <c r="U33"/>
  <c r="U32"/>
  <c r="U31"/>
  <c r="U30"/>
  <c r="U29"/>
  <c r="U28"/>
  <c r="U27"/>
  <c r="U26"/>
  <c r="U24"/>
  <c r="U23"/>
  <c r="U22"/>
  <c r="U21"/>
  <c r="U20"/>
  <c r="U19"/>
  <c r="U18"/>
  <c r="U17"/>
  <c r="U16"/>
  <c r="U15"/>
  <c r="U14"/>
  <c r="U13"/>
  <c r="U12"/>
  <c r="U11"/>
  <c r="U10"/>
  <c r="U9"/>
  <c r="U8"/>
  <c r="U7"/>
  <c r="U6"/>
  <c r="I7"/>
  <c r="I8"/>
  <c r="I9"/>
  <c r="I10"/>
  <c r="I11"/>
  <c r="I12"/>
  <c r="I13"/>
  <c r="I14"/>
  <c r="I16"/>
  <c r="I17"/>
  <c r="I18"/>
  <c r="I19"/>
  <c r="I20"/>
  <c r="I21"/>
  <c r="I35"/>
  <c r="I36"/>
  <c r="L6" i="24"/>
  <c r="I7"/>
  <c r="J7"/>
  <c r="K7"/>
  <c r="L7"/>
  <c r="L13"/>
  <c r="L55"/>
  <c r="L59"/>
  <c r="L18"/>
  <c r="L24"/>
  <c r="L27"/>
  <c r="L32"/>
  <c r="L33"/>
  <c r="L37"/>
  <c r="I55"/>
  <c r="J55"/>
  <c r="J59"/>
  <c r="K55"/>
  <c r="I56"/>
  <c r="J56"/>
  <c r="L56"/>
  <c r="I57"/>
  <c r="J57"/>
  <c r="L57"/>
  <c r="I58"/>
  <c r="J58"/>
  <c r="K58"/>
  <c r="L58"/>
  <c r="I59"/>
  <c r="K59"/>
  <c r="L6" i="18"/>
  <c r="I6"/>
  <c r="F6"/>
  <c r="C26" i="19"/>
  <c r="J13" i="18"/>
  <c r="H13"/>
  <c r="I12"/>
  <c r="J12"/>
  <c r="H12"/>
  <c r="J11"/>
  <c r="J10"/>
  <c r="J9"/>
  <c r="J8"/>
  <c r="I8"/>
  <c r="L8"/>
  <c r="H8"/>
  <c r="J7"/>
  <c r="J6"/>
  <c r="H6"/>
  <c r="G6"/>
  <c r="E36" i="16"/>
  <c r="L29"/>
  <c r="I29"/>
  <c r="H29"/>
  <c r="E29"/>
  <c r="C36"/>
  <c r="D29"/>
  <c r="J28"/>
  <c r="F28"/>
  <c r="J27"/>
  <c r="F27"/>
  <c r="J26"/>
  <c r="F26"/>
  <c r="J24"/>
  <c r="F24"/>
  <c r="J23"/>
  <c r="F23"/>
  <c r="J22"/>
  <c r="F22"/>
  <c r="J21"/>
  <c r="F21"/>
  <c r="J20"/>
  <c r="J19"/>
  <c r="F19"/>
  <c r="J18"/>
  <c r="F18"/>
  <c r="G29"/>
  <c r="F17"/>
  <c r="J16"/>
  <c r="F16"/>
  <c r="J15"/>
  <c r="F15"/>
  <c r="J14"/>
  <c r="F14"/>
  <c r="J13"/>
  <c r="F13"/>
  <c r="J12"/>
  <c r="F12"/>
  <c r="J11"/>
  <c r="F11"/>
  <c r="J10"/>
  <c r="F10"/>
  <c r="J9"/>
  <c r="F9"/>
  <c r="J8"/>
  <c r="F8"/>
  <c r="J7"/>
  <c r="F7"/>
  <c r="J6"/>
  <c r="F6"/>
  <c r="H16" i="15"/>
  <c r="F16"/>
  <c r="H15"/>
  <c r="F15"/>
  <c r="H14"/>
  <c r="F14"/>
  <c r="H13"/>
  <c r="E12"/>
  <c r="D12"/>
  <c r="C12"/>
  <c r="B12"/>
  <c r="H10"/>
  <c r="F10"/>
  <c r="C8"/>
  <c r="H9"/>
  <c r="F9"/>
  <c r="G8"/>
  <c r="E8"/>
  <c r="D8"/>
  <c r="B8"/>
  <c r="H7"/>
  <c r="F7"/>
  <c r="G6"/>
  <c r="G11"/>
  <c r="B6"/>
  <c r="D35" i="14"/>
  <c r="E35"/>
  <c r="D34"/>
  <c r="E34"/>
  <c r="D33"/>
  <c r="E33"/>
  <c r="D31"/>
  <c r="E31"/>
  <c r="D30"/>
  <c r="E30"/>
  <c r="D29"/>
  <c r="E29"/>
  <c r="D28"/>
  <c r="E28"/>
  <c r="D27"/>
  <c r="E27"/>
  <c r="D25"/>
  <c r="E25"/>
  <c r="H24"/>
  <c r="D24"/>
  <c r="E24"/>
  <c r="B23"/>
  <c r="D23"/>
  <c r="E23"/>
  <c r="H22"/>
  <c r="D22"/>
  <c r="E22"/>
  <c r="D21"/>
  <c r="E21"/>
  <c r="D20"/>
  <c r="E20"/>
  <c r="D19"/>
  <c r="E19"/>
  <c r="D18"/>
  <c r="E18"/>
  <c r="D17"/>
  <c r="E17"/>
  <c r="D16"/>
  <c r="E16"/>
  <c r="D15"/>
  <c r="E15"/>
  <c r="I14"/>
  <c r="D14"/>
  <c r="E14"/>
  <c r="I13"/>
  <c r="D13"/>
  <c r="E13"/>
  <c r="H12"/>
  <c r="I12"/>
  <c r="D12"/>
  <c r="E12"/>
  <c r="H11"/>
  <c r="I11"/>
  <c r="I9"/>
  <c r="I8"/>
  <c r="D11"/>
  <c r="E11"/>
  <c r="J10"/>
  <c r="I10"/>
  <c r="H10"/>
  <c r="D10"/>
  <c r="E10"/>
  <c r="K9"/>
  <c r="J9"/>
  <c r="B9"/>
  <c r="D9"/>
  <c r="E9"/>
  <c r="K8"/>
  <c r="J8"/>
  <c r="B29" i="16"/>
  <c r="C26"/>
  <c r="C29"/>
  <c r="F29"/>
  <c r="B8" i="14"/>
  <c r="D8"/>
  <c r="E8"/>
  <c r="F12" i="15"/>
  <c r="B5"/>
  <c r="H8"/>
  <c r="E6"/>
  <c r="E5"/>
  <c r="B11"/>
  <c r="J17" i="16"/>
  <c r="F36"/>
  <c r="C6" i="15"/>
  <c r="C5"/>
  <c r="D6"/>
  <c r="D5"/>
  <c r="G12"/>
  <c r="F8"/>
  <c r="B32" i="14"/>
  <c r="D32"/>
  <c r="E32"/>
  <c r="H9"/>
  <c r="H8"/>
  <c r="B26"/>
  <c r="H6" i="15"/>
  <c r="E11"/>
  <c r="H11"/>
  <c r="D11"/>
  <c r="D36" i="16"/>
  <c r="J29"/>
  <c r="B36"/>
  <c r="F5" i="15"/>
  <c r="H12"/>
  <c r="G5"/>
  <c r="H5"/>
  <c r="F6"/>
  <c r="C11"/>
  <c r="D26" i="14"/>
  <c r="E26"/>
  <c r="B7"/>
  <c r="F11" i="15"/>
  <c r="K26" i="16"/>
  <c r="K23"/>
  <c r="K15"/>
  <c r="K11"/>
  <c r="K7"/>
  <c r="K22"/>
  <c r="K19"/>
  <c r="K14"/>
  <c r="K10"/>
  <c r="K6"/>
  <c r="K8"/>
  <c r="K9"/>
  <c r="K18"/>
  <c r="K28"/>
  <c r="K27"/>
  <c r="K16"/>
  <c r="K24"/>
  <c r="K21"/>
  <c r="K12"/>
  <c r="K13"/>
  <c r="K20"/>
  <c r="K17"/>
  <c r="D7" i="14"/>
  <c r="E7"/>
  <c r="B6"/>
  <c r="D6"/>
  <c r="E6"/>
  <c r="K29" i="16"/>
  <c r="AA7" i="8"/>
  <c r="H13" i="13"/>
  <c r="T18"/>
  <c r="T20" i="8"/>
  <c r="T19"/>
  <c r="H14"/>
  <c r="T30"/>
  <c r="C8"/>
  <c r="C6"/>
  <c r="C11"/>
  <c r="C13"/>
  <c r="C14"/>
  <c r="C15"/>
  <c r="C12"/>
  <c r="C19"/>
  <c r="C20"/>
  <c r="C21"/>
  <c r="H19" i="13"/>
  <c r="H21" i="8"/>
  <c r="H15"/>
  <c r="T16"/>
  <c r="T12"/>
  <c r="C34"/>
  <c r="C33"/>
  <c r="X15" i="13"/>
  <c r="V15"/>
  <c r="X13"/>
  <c r="V13"/>
  <c r="X12"/>
  <c r="V12"/>
  <c r="X10"/>
  <c r="W10"/>
  <c r="V10"/>
  <c r="X9"/>
  <c r="W9"/>
  <c r="V9"/>
  <c r="X8"/>
  <c r="W8"/>
  <c r="V8"/>
  <c r="L20"/>
  <c r="K20"/>
  <c r="J20"/>
  <c r="J19"/>
  <c r="L16"/>
  <c r="K16"/>
  <c r="J16"/>
  <c r="L14"/>
  <c r="K14"/>
  <c r="J14"/>
  <c r="L12"/>
  <c r="K12"/>
  <c r="L11"/>
  <c r="K11"/>
  <c r="L10"/>
  <c r="K10"/>
  <c r="L9"/>
  <c r="K9"/>
  <c r="J9"/>
  <c r="L8"/>
  <c r="K8"/>
  <c r="L7"/>
  <c r="K7"/>
  <c r="V27" i="8"/>
  <c r="X26"/>
  <c r="W26"/>
  <c r="V26"/>
  <c r="X23"/>
  <c r="V23"/>
  <c r="X17"/>
  <c r="W17"/>
  <c r="X13"/>
  <c r="W13"/>
  <c r="X12"/>
  <c r="W12"/>
  <c r="X11"/>
  <c r="W11"/>
  <c r="X10"/>
  <c r="W10"/>
  <c r="X9"/>
  <c r="W9"/>
  <c r="J35"/>
  <c r="J32"/>
  <c r="J31"/>
  <c r="J30"/>
  <c r="J29"/>
  <c r="J28"/>
  <c r="J27"/>
  <c r="J26"/>
  <c r="J25"/>
  <c r="J23"/>
  <c r="J22"/>
  <c r="J18"/>
  <c r="J17"/>
  <c r="J16"/>
  <c r="J15"/>
  <c r="J11"/>
  <c r="L32"/>
  <c r="L31"/>
  <c r="L30"/>
  <c r="L29"/>
  <c r="L28"/>
  <c r="L27"/>
  <c r="L26"/>
  <c r="L25"/>
  <c r="L23"/>
  <c r="L22"/>
  <c r="L18"/>
  <c r="L17"/>
  <c r="L16"/>
  <c r="L10"/>
  <c r="L9"/>
  <c r="L7"/>
  <c r="K23"/>
  <c r="K22"/>
  <c r="K18"/>
  <c r="K17"/>
  <c r="K16"/>
  <c r="K10"/>
  <c r="K9"/>
  <c r="K7"/>
  <c r="T22"/>
  <c r="T6" i="13"/>
  <c r="H18"/>
  <c r="H15"/>
  <c r="H6"/>
  <c r="T24" i="8"/>
  <c r="T29"/>
  <c r="T15"/>
  <c r="T8"/>
  <c r="H8"/>
  <c r="H12"/>
  <c r="S7" i="13"/>
  <c r="G8"/>
  <c r="J8"/>
  <c r="V7"/>
  <c r="L15"/>
  <c r="K15"/>
  <c r="T14"/>
  <c r="H22"/>
  <c r="H21"/>
  <c r="T21"/>
  <c r="H17"/>
  <c r="T19"/>
  <c r="H20" i="8"/>
  <c r="W24"/>
  <c r="X24"/>
  <c r="T7"/>
  <c r="T6"/>
  <c r="H6"/>
  <c r="T18"/>
  <c r="G7" i="13"/>
  <c r="J7"/>
  <c r="H33" i="8"/>
  <c r="I33" s="1"/>
  <c r="J13" i="13"/>
  <c r="T11"/>
  <c r="X14"/>
  <c r="W14"/>
  <c r="T32" i="8"/>
  <c r="T17" i="13"/>
  <c r="H19" i="8"/>
  <c r="H34"/>
  <c r="T35" s="1"/>
  <c r="T31"/>
  <c r="G9"/>
  <c r="G10"/>
  <c r="S14"/>
  <c r="T22" i="13"/>
  <c r="H23"/>
  <c r="T20"/>
  <c r="T26"/>
  <c r="J10" i="8"/>
  <c r="V14"/>
  <c r="J9"/>
  <c r="T28"/>
  <c r="T23" i="13"/>
  <c r="H36" i="8"/>
  <c r="S19"/>
  <c r="S12"/>
  <c r="V19"/>
  <c r="V12"/>
  <c r="S16" i="13"/>
  <c r="G11"/>
  <c r="G18"/>
  <c r="G15"/>
  <c r="G14" i="8"/>
  <c r="G13"/>
  <c r="G12" i="13"/>
  <c r="J12"/>
  <c r="G10"/>
  <c r="S21" i="8"/>
  <c r="R17"/>
  <c r="R16"/>
  <c r="S16"/>
  <c r="V16" i="13"/>
  <c r="J10"/>
  <c r="J15"/>
  <c r="J11"/>
  <c r="J18"/>
  <c r="V21" i="8"/>
  <c r="J14"/>
  <c r="J13"/>
  <c r="V16"/>
  <c r="S6" i="13"/>
  <c r="G17"/>
  <c r="G6"/>
  <c r="S14"/>
  <c r="S19"/>
  <c r="J17"/>
  <c r="J6"/>
  <c r="V14"/>
  <c r="V19"/>
  <c r="S21"/>
  <c r="G21"/>
  <c r="G22"/>
  <c r="V21"/>
  <c r="J22"/>
  <c r="J21"/>
  <c r="S17" i="8"/>
  <c r="G21"/>
  <c r="S22"/>
  <c r="Q22"/>
  <c r="G8"/>
  <c r="G7"/>
  <c r="S29"/>
  <c r="S24"/>
  <c r="G12"/>
  <c r="J12"/>
  <c r="V17"/>
  <c r="V29"/>
  <c r="V22"/>
  <c r="J8"/>
  <c r="J7"/>
  <c r="J21"/>
  <c r="V24"/>
  <c r="G20"/>
  <c r="G6"/>
  <c r="G33"/>
  <c r="S15"/>
  <c r="S31"/>
  <c r="J20"/>
  <c r="V15"/>
  <c r="G19"/>
  <c r="G34"/>
  <c r="J19"/>
  <c r="J33"/>
  <c r="V31"/>
  <c r="F20"/>
  <c r="F18" i="13"/>
  <c r="R19"/>
  <c r="J34" i="8"/>
  <c r="R31"/>
  <c r="R29"/>
  <c r="R11" i="13"/>
  <c r="S11"/>
  <c r="V11"/>
  <c r="S18"/>
  <c r="S20"/>
  <c r="R11" i="8"/>
  <c r="S11"/>
  <c r="R10"/>
  <c r="S10"/>
  <c r="R9"/>
  <c r="S9"/>
  <c r="R13"/>
  <c r="S13"/>
  <c r="V18" i="13"/>
  <c r="V20"/>
  <c r="V9" i="8"/>
  <c r="V13"/>
  <c r="V11"/>
  <c r="V10"/>
  <c r="S8"/>
  <c r="S17" i="13"/>
  <c r="R6"/>
  <c r="F17"/>
  <c r="F15"/>
  <c r="F6"/>
  <c r="F21"/>
  <c r="R24" i="8"/>
  <c r="R20"/>
  <c r="R15"/>
  <c r="R8"/>
  <c r="R7"/>
  <c r="F19"/>
  <c r="F12"/>
  <c r="F8"/>
  <c r="F6"/>
  <c r="V17" i="13"/>
  <c r="V8" i="8"/>
  <c r="S22" i="13"/>
  <c r="S7" i="8"/>
  <c r="R18"/>
  <c r="S20"/>
  <c r="R30"/>
  <c r="R28"/>
  <c r="R18" i="13"/>
  <c r="R17"/>
  <c r="R22"/>
  <c r="R20"/>
  <c r="R6" i="8"/>
  <c r="R21" i="13"/>
  <c r="F22"/>
  <c r="F33" i="8"/>
  <c r="F34"/>
  <c r="G23" i="13"/>
  <c r="V22"/>
  <c r="V20" i="8"/>
  <c r="V7"/>
  <c r="S30"/>
  <c r="S18"/>
  <c r="S6"/>
  <c r="R33"/>
  <c r="R32"/>
  <c r="F23" i="13"/>
  <c r="R23"/>
  <c r="F36" i="8"/>
  <c r="R34"/>
  <c r="R35"/>
  <c r="J23" i="13"/>
  <c r="S23"/>
  <c r="V6" i="8"/>
  <c r="V30"/>
  <c r="V18"/>
  <c r="G36"/>
  <c r="S33"/>
  <c r="S32"/>
  <c r="S28"/>
  <c r="R36"/>
  <c r="F35"/>
  <c r="V23" i="13"/>
  <c r="V28" i="8"/>
  <c r="J36"/>
  <c r="V32"/>
  <c r="V33"/>
  <c r="S34"/>
  <c r="S39"/>
  <c r="S35"/>
  <c r="V34"/>
  <c r="E15" i="13"/>
  <c r="Q14"/>
  <c r="E17"/>
  <c r="Q11"/>
  <c r="Q7"/>
  <c r="Q6"/>
  <c r="E6"/>
  <c r="Q28" i="8"/>
  <c r="Q24"/>
  <c r="Q20"/>
  <c r="Q19"/>
  <c r="Q17"/>
  <c r="Q16"/>
  <c r="Q13"/>
  <c r="Q8"/>
  <c r="E19"/>
  <c r="E12"/>
  <c r="E8"/>
  <c r="E6"/>
  <c r="S36"/>
  <c r="E34"/>
  <c r="E22" i="13"/>
  <c r="E21"/>
  <c r="Q21"/>
  <c r="E33" i="8"/>
  <c r="Q18"/>
  <c r="Q7"/>
  <c r="Q15"/>
  <c r="Q21"/>
  <c r="Q16" i="13"/>
  <c r="Q22"/>
  <c r="Q20"/>
  <c r="E23"/>
  <c r="Q6" i="8"/>
  <c r="Q32"/>
  <c r="Q34"/>
  <c r="Q33"/>
  <c r="Q23" i="13"/>
  <c r="E36" i="8"/>
  <c r="P17"/>
  <c r="O21"/>
  <c r="O20"/>
  <c r="C19" i="13"/>
  <c r="C18"/>
  <c r="B17"/>
  <c r="N16"/>
  <c r="N19"/>
  <c r="O16"/>
  <c r="P14"/>
  <c r="N14"/>
  <c r="C13"/>
  <c r="P11"/>
  <c r="O11"/>
  <c r="N11"/>
  <c r="N18"/>
  <c r="P7"/>
  <c r="O7"/>
  <c r="N7"/>
  <c r="N6"/>
  <c r="D6"/>
  <c r="C6"/>
  <c r="B6"/>
  <c r="P28" i="8"/>
  <c r="O27"/>
  <c r="N27"/>
  <c r="P24"/>
  <c r="N24"/>
  <c r="P22"/>
  <c r="O22"/>
  <c r="N22"/>
  <c r="P20"/>
  <c r="N20"/>
  <c r="N30"/>
  <c r="P19"/>
  <c r="O19"/>
  <c r="N19"/>
  <c r="N29"/>
  <c r="B19"/>
  <c r="N21"/>
  <c r="N31"/>
  <c r="N17"/>
  <c r="P16"/>
  <c r="O16"/>
  <c r="N16"/>
  <c r="O14"/>
  <c r="N14"/>
  <c r="P13"/>
  <c r="D12"/>
  <c r="B12"/>
  <c r="B11"/>
  <c r="B10"/>
  <c r="B8"/>
  <c r="B6"/>
  <c r="P8"/>
  <c r="O8"/>
  <c r="N8"/>
  <c r="D8"/>
  <c r="L18" i="13"/>
  <c r="K18"/>
  <c r="K13"/>
  <c r="L13"/>
  <c r="L6"/>
  <c r="K6"/>
  <c r="W7"/>
  <c r="X7"/>
  <c r="W16"/>
  <c r="X16"/>
  <c r="X11"/>
  <c r="W11"/>
  <c r="K19"/>
  <c r="L19"/>
  <c r="L8" i="8"/>
  <c r="K8"/>
  <c r="L14"/>
  <c r="K14"/>
  <c r="L20"/>
  <c r="K20"/>
  <c r="W20"/>
  <c r="X20"/>
  <c r="K13"/>
  <c r="L13"/>
  <c r="W14"/>
  <c r="X14"/>
  <c r="W19"/>
  <c r="X19"/>
  <c r="W27"/>
  <c r="X27"/>
  <c r="W16"/>
  <c r="X16"/>
  <c r="X22"/>
  <c r="W22"/>
  <c r="W21"/>
  <c r="X21"/>
  <c r="X8"/>
  <c r="W8"/>
  <c r="K11"/>
  <c r="L11"/>
  <c r="K15"/>
  <c r="L15"/>
  <c r="K21"/>
  <c r="L21"/>
  <c r="O6" i="13"/>
  <c r="O15" i="8"/>
  <c r="P6" i="13"/>
  <c r="P21"/>
  <c r="B22"/>
  <c r="C17"/>
  <c r="O18"/>
  <c r="O18" i="8"/>
  <c r="O30"/>
  <c r="D21" i="13"/>
  <c r="O19"/>
  <c r="N15" i="8"/>
  <c r="N7"/>
  <c r="N18"/>
  <c r="O7"/>
  <c r="O29"/>
  <c r="O31"/>
  <c r="N28"/>
  <c r="Q35"/>
  <c r="B34"/>
  <c r="B33"/>
  <c r="O21" i="13"/>
  <c r="N17"/>
  <c r="N22"/>
  <c r="B23"/>
  <c r="N23"/>
  <c r="D6" i="8"/>
  <c r="P18"/>
  <c r="C21" i="13"/>
  <c r="B21"/>
  <c r="P15" i="8"/>
  <c r="N20" i="13"/>
  <c r="P7" i="8"/>
  <c r="N21" i="13"/>
  <c r="X19"/>
  <c r="W19"/>
  <c r="L21"/>
  <c r="K21"/>
  <c r="X21"/>
  <c r="W21"/>
  <c r="K17"/>
  <c r="L17"/>
  <c r="O20"/>
  <c r="X6"/>
  <c r="W6"/>
  <c r="W18"/>
  <c r="X18"/>
  <c r="K33" i="8"/>
  <c r="L33"/>
  <c r="X29"/>
  <c r="W29"/>
  <c r="X15"/>
  <c r="W15"/>
  <c r="L12"/>
  <c r="K12"/>
  <c r="X7"/>
  <c r="W7"/>
  <c r="L19"/>
  <c r="K19"/>
  <c r="W18"/>
  <c r="X18"/>
  <c r="X30"/>
  <c r="W30"/>
  <c r="W31"/>
  <c r="X31"/>
  <c r="L6"/>
  <c r="K6"/>
  <c r="C22" i="13"/>
  <c r="O6" i="8"/>
  <c r="O33"/>
  <c r="O17" i="13"/>
  <c r="O28" i="8"/>
  <c r="D20"/>
  <c r="N6"/>
  <c r="N33"/>
  <c r="P6"/>
  <c r="Q36"/>
  <c r="D33"/>
  <c r="X20" i="13"/>
  <c r="W20"/>
  <c r="L22"/>
  <c r="K22"/>
  <c r="O22"/>
  <c r="X17"/>
  <c r="W17"/>
  <c r="W33" i="8"/>
  <c r="X33"/>
  <c r="L34"/>
  <c r="K34"/>
  <c r="X6"/>
  <c r="W6"/>
  <c r="O34"/>
  <c r="O35"/>
  <c r="W28"/>
  <c r="X28"/>
  <c r="O32"/>
  <c r="N32"/>
  <c r="D18" i="13"/>
  <c r="P33" i="8"/>
  <c r="N34"/>
  <c r="N35"/>
  <c r="D17" i="13"/>
  <c r="D19" i="8"/>
  <c r="E35"/>
  <c r="W22" i="13"/>
  <c r="X22"/>
  <c r="C23"/>
  <c r="X32" i="8"/>
  <c r="W32"/>
  <c r="X34"/>
  <c r="W34"/>
  <c r="O23" i="13"/>
  <c r="P21" i="8"/>
  <c r="D22" i="13"/>
  <c r="P16"/>
  <c r="P22"/>
  <c r="D34" i="8"/>
  <c r="C36"/>
  <c r="C35"/>
  <c r="W23" i="13"/>
  <c r="X23"/>
  <c r="L23"/>
  <c r="K23"/>
  <c r="P20"/>
  <c r="P32" i="8"/>
  <c r="P34"/>
  <c r="D23" i="13"/>
  <c r="K36" i="8"/>
  <c r="L36"/>
  <c r="P35"/>
  <c r="P23" i="13"/>
  <c r="K35" i="8"/>
  <c r="L35"/>
  <c r="O36"/>
  <c r="D36"/>
  <c r="P36"/>
  <c r="D35"/>
  <c r="T36" l="1"/>
  <c r="W35"/>
  <c r="X35"/>
  <c r="U35"/>
  <c r="V35"/>
  <c r="I34"/>
  <c r="V36" l="1"/>
  <c r="X36"/>
</calcChain>
</file>

<file path=xl/comments1.xml><?xml version="1.0" encoding="utf-8"?>
<comments xmlns="http://schemas.openxmlformats.org/spreadsheetml/2006/main">
  <authors>
    <author>微软用户</author>
  </authors>
  <commentList>
    <comment ref="H10" authorId="0">
      <text>
        <r>
          <rPr>
            <b/>
            <sz val="9"/>
            <color indexed="81"/>
            <rFont val="宋体"/>
            <family val="3"/>
            <charset val="134"/>
          </rPr>
          <t xml:space="preserve">减去绩效，加上差额单位
</t>
        </r>
        <r>
          <rPr>
            <sz val="9"/>
            <color indexed="81"/>
            <rFont val="Tahoma"/>
            <family val="2"/>
          </rPr>
          <t xml:space="preserve">
</t>
        </r>
      </text>
    </comment>
    <comment ref="H22" authorId="0">
      <text>
        <r>
          <rPr>
            <sz val="9"/>
            <color indexed="81"/>
            <rFont val="宋体"/>
            <family val="3"/>
            <charset val="134"/>
          </rPr>
          <t>减去绩效，减去生育工伤险，减去差额，减去离退休</t>
        </r>
        <r>
          <rPr>
            <sz val="9"/>
            <color indexed="81"/>
            <rFont val="Tahoma"/>
            <family val="2"/>
          </rPr>
          <t xml:space="preserve">
</t>
        </r>
      </text>
    </comment>
  </commentList>
</comments>
</file>

<file path=xl/comments2.xml><?xml version="1.0" encoding="utf-8"?>
<comments xmlns="http://schemas.openxmlformats.org/spreadsheetml/2006/main">
  <authors>
    <author>微软用户</author>
  </authors>
  <commentList>
    <comment ref="G8" authorId="0">
      <text>
        <r>
          <rPr>
            <b/>
            <sz val="9"/>
            <color indexed="81"/>
            <rFont val="宋体"/>
            <family val="3"/>
            <charset val="134"/>
          </rPr>
          <t>微软用户</t>
        </r>
        <r>
          <rPr>
            <b/>
            <sz val="9"/>
            <color indexed="81"/>
            <rFont val="Tahoma"/>
            <family val="2"/>
          </rPr>
          <t>:</t>
        </r>
        <r>
          <rPr>
            <sz val="9"/>
            <color indexed="81"/>
            <rFont val="Tahoma"/>
            <family val="2"/>
          </rPr>
          <t xml:space="preserve">
</t>
        </r>
        <r>
          <rPr>
            <sz val="9"/>
            <color indexed="81"/>
            <rFont val="宋体"/>
            <family val="3"/>
            <charset val="134"/>
          </rPr>
          <t>含</t>
        </r>
        <r>
          <rPr>
            <sz val="9"/>
            <color indexed="81"/>
            <rFont val="Tahoma"/>
            <family val="2"/>
          </rPr>
          <t>227903473.32</t>
        </r>
      </text>
    </comment>
  </commentList>
</comments>
</file>

<file path=xl/sharedStrings.xml><?xml version="1.0" encoding="utf-8"?>
<sst xmlns="http://schemas.openxmlformats.org/spreadsheetml/2006/main" count="1088" uniqueCount="601">
  <si>
    <t>单位：万元</t>
  </si>
  <si>
    <t>收    入</t>
  </si>
  <si>
    <t>支    出</t>
  </si>
  <si>
    <t>项  目</t>
  </si>
  <si>
    <t>一、本级一般公共预算收入</t>
  </si>
  <si>
    <t>一、本级一般公共预算支出</t>
  </si>
  <si>
    <t>（一）税收收入</t>
  </si>
  <si>
    <t>（一）基本支出</t>
  </si>
  <si>
    <t>（二）非税收入</t>
  </si>
  <si>
    <t>1.基本工资、津补贴、绩效工资、绩效考核奖金、年终奖</t>
  </si>
  <si>
    <t>1.税务部门</t>
  </si>
  <si>
    <t>①区直单位供养人员</t>
  </si>
  <si>
    <t>2.财政部门</t>
  </si>
  <si>
    <t>②镇级供养人员</t>
  </si>
  <si>
    <t>二、上级财力性补助收入</t>
  </si>
  <si>
    <t>③教师</t>
  </si>
  <si>
    <t>三、上级转移支付补助收入</t>
  </si>
  <si>
    <t>（一）一般性转移支付补助</t>
  </si>
  <si>
    <t>3.其他人员支出</t>
  </si>
  <si>
    <t>（二）专项转移支付补助</t>
  </si>
  <si>
    <t>（三）结余资金收回</t>
  </si>
  <si>
    <t>（二）项目支出</t>
  </si>
  <si>
    <t>四、地方政府置换债券转贷收入</t>
  </si>
  <si>
    <t>1.常规预算</t>
  </si>
  <si>
    <t>2.综合预算</t>
  </si>
  <si>
    <t>二、上级转移性支付补助支出</t>
  </si>
  <si>
    <t>（一）上级一般性转移支付补助支出</t>
  </si>
  <si>
    <t>（一）线上结转</t>
  </si>
  <si>
    <t>（二）上级专项转移支付补助支出</t>
  </si>
  <si>
    <t>（二）收回存量资金</t>
  </si>
  <si>
    <t>三、上年结转支出</t>
  </si>
  <si>
    <t>八、动用预算稳定调节基金</t>
  </si>
  <si>
    <t>五、地方政府债券偿还本金
（线下支出）</t>
  </si>
  <si>
    <t>六、地方政府新增债券安排的支出</t>
  </si>
  <si>
    <t>（一）当年上级一般性转移支付补助支出</t>
  </si>
  <si>
    <t>（二）当年上级专项转移支付补助支出</t>
  </si>
  <si>
    <t>（三）上年结转支出</t>
  </si>
  <si>
    <t>一般公共预算支出</t>
  </si>
  <si>
    <t>本级一般公共预算
可支配财力</t>
  </si>
  <si>
    <t>本级一般公共预算
支出负担</t>
  </si>
  <si>
    <t>全口径一般公共预算财力</t>
  </si>
  <si>
    <t>全口径一般公共预算
支出负担</t>
  </si>
  <si>
    <t>收支缺口挂账
（待调入资金）</t>
  </si>
  <si>
    <t>财力缺口</t>
  </si>
  <si>
    <t>从政府性基金预算调入一般公共预算（调入资金）</t>
  </si>
  <si>
    <t>结余补充预算稳定调节基金（调出资金）</t>
  </si>
  <si>
    <t>一、本级政府性基金预算收入</t>
  </si>
  <si>
    <t>一、本级政府性基金预算支出</t>
  </si>
  <si>
    <t>（一）国有土地使用权出让收入</t>
  </si>
  <si>
    <t>（一）国有土地使用权出让收入安排的支出（包括债券发行费及利息）</t>
  </si>
  <si>
    <t>（二）城市基础设施配套费收入</t>
  </si>
  <si>
    <t>（二）城市基础设施配套费收入安排的支出</t>
  </si>
  <si>
    <t>（四）农业土地开发资金收入安排的支出</t>
  </si>
  <si>
    <t>（五）污水处理费收入</t>
  </si>
  <si>
    <t>二、上级专项转移支付补助支出</t>
  </si>
  <si>
    <t>二、上级专项转移支付补助收入</t>
  </si>
  <si>
    <t>五、地方政府新增债券支出</t>
  </si>
  <si>
    <t>（一）当年上级专项转移支付补助支出</t>
  </si>
  <si>
    <t>（二）上年结转支出</t>
  </si>
  <si>
    <t>（三）清算退回历年结转上级资金</t>
  </si>
  <si>
    <t>政府性基金预算支出</t>
  </si>
  <si>
    <t>本级政府性基金预算
可支配财力</t>
  </si>
  <si>
    <t>本级政府性基金预算
支出负担</t>
  </si>
  <si>
    <t>全口径政府性基金
预算财力</t>
  </si>
  <si>
    <t>财力盈余</t>
  </si>
  <si>
    <t>政府性基金预算
调出资金</t>
  </si>
  <si>
    <t>职业年金纪实7203</t>
  </si>
  <si>
    <t>2019年             预算数</t>
    <phoneticPr fontId="5" type="noConversion"/>
  </si>
  <si>
    <t>2019年             执行数</t>
    <phoneticPr fontId="5" type="noConversion"/>
  </si>
  <si>
    <t>年初
预算数</t>
    <phoneticPr fontId="5" type="noConversion"/>
  </si>
  <si>
    <t>第一次预算
调整数</t>
    <phoneticPr fontId="5" type="noConversion"/>
  </si>
  <si>
    <t>11月30日
执行数</t>
    <phoneticPr fontId="5" type="noConversion"/>
  </si>
  <si>
    <t>2019年            预算数</t>
    <phoneticPr fontId="5" type="noConversion"/>
  </si>
  <si>
    <t>教育局414</t>
    <phoneticPr fontId="5" type="noConversion"/>
  </si>
  <si>
    <t>2.医疗保险、住房公积金、社保、社保年金、交通补助、工伤保险、生育保险等其他工资性支出</t>
    <phoneticPr fontId="5" type="noConversion"/>
  </si>
  <si>
    <t>4.公用支出</t>
    <phoneticPr fontId="5" type="noConversion"/>
  </si>
  <si>
    <t>七、上年结转收入</t>
    <phoneticPr fontId="5" type="noConversion"/>
  </si>
  <si>
    <t>七、亚行贷款项目债务转贷支出</t>
    <phoneticPr fontId="5" type="noConversion"/>
  </si>
  <si>
    <t>八、亚行贷款还本支出
（线下支出）</t>
    <phoneticPr fontId="5" type="noConversion"/>
  </si>
  <si>
    <t>九、体制和专项上解</t>
    <phoneticPr fontId="5" type="noConversion"/>
  </si>
  <si>
    <t>十、结转下年支出</t>
    <phoneticPr fontId="5" type="noConversion"/>
  </si>
  <si>
    <t>2019年
预算数</t>
    <phoneticPr fontId="5" type="noConversion"/>
  </si>
  <si>
    <t>专项债券利息11554，专项债券发行费134</t>
    <phoneticPr fontId="5" type="noConversion"/>
  </si>
  <si>
    <t>（三）彩票公益金收入（按规定需专款专用）</t>
    <phoneticPr fontId="5" type="noConversion"/>
  </si>
  <si>
    <t>（三）彩票公益金收入安排的支出</t>
    <phoneticPr fontId="5" type="noConversion"/>
  </si>
  <si>
    <t>（四）农业土地开发资金收入（按规定需专款专用）</t>
    <phoneticPr fontId="5" type="noConversion"/>
  </si>
  <si>
    <t>（六）其他政府性基金预算收入</t>
    <phoneticPr fontId="5" type="noConversion"/>
  </si>
  <si>
    <t>三、地方政府置换债券还本支出（线下支出）</t>
    <phoneticPr fontId="5" type="noConversion"/>
  </si>
  <si>
    <t>四、地方政府债券偿还本金（线下支出）</t>
    <phoneticPr fontId="5" type="noConversion"/>
  </si>
  <si>
    <t>三、地方政府置换债券转贷收入</t>
    <phoneticPr fontId="5" type="noConversion"/>
  </si>
  <si>
    <t>六、抗疫特别国债安排的支出</t>
    <phoneticPr fontId="5" type="noConversion"/>
  </si>
  <si>
    <t>七、上年结转支出</t>
    <phoneticPr fontId="5" type="noConversion"/>
  </si>
  <si>
    <t>六、上年结转收入</t>
    <phoneticPr fontId="5" type="noConversion"/>
  </si>
  <si>
    <t>八、结转下年支出</t>
    <phoneticPr fontId="5" type="noConversion"/>
  </si>
  <si>
    <t>全口径政府性基金预算
支出负担</t>
    <phoneticPr fontId="5" type="noConversion"/>
  </si>
  <si>
    <t>增减额</t>
    <phoneticPr fontId="5" type="noConversion"/>
  </si>
  <si>
    <t>2020年                 执行数</t>
    <phoneticPr fontId="5" type="noConversion"/>
  </si>
  <si>
    <t>增长率</t>
    <phoneticPr fontId="5" type="noConversion"/>
  </si>
  <si>
    <t>五、地方政府新增债券转贷收入</t>
    <phoneticPr fontId="5" type="noConversion"/>
  </si>
  <si>
    <t>六、亚行贷款项目债务转贷收入</t>
    <phoneticPr fontId="5" type="noConversion"/>
  </si>
  <si>
    <t>四、地方政府新增债券转贷收入</t>
    <phoneticPr fontId="5" type="noConversion"/>
  </si>
  <si>
    <t>五、抗疫特别国债</t>
    <phoneticPr fontId="5" type="noConversion"/>
  </si>
  <si>
    <t>四、地方政府置换债券还本支出（线下支出）</t>
    <phoneticPr fontId="5" type="noConversion"/>
  </si>
  <si>
    <t>附件2</t>
    <phoneticPr fontId="5" type="noConversion"/>
  </si>
  <si>
    <t>附件1</t>
    <phoneticPr fontId="5" type="noConversion"/>
  </si>
  <si>
    <t>第一次预算
调整数</t>
    <phoneticPr fontId="5" type="noConversion"/>
  </si>
  <si>
    <t>第二次预算
调整数</t>
    <phoneticPr fontId="5" type="noConversion"/>
  </si>
  <si>
    <t>单位：万元</t>
    <phoneticPr fontId="3" type="noConversion"/>
  </si>
  <si>
    <t>项 目</t>
    <phoneticPr fontId="37" type="noConversion"/>
  </si>
  <si>
    <t>2019年支出</t>
    <phoneticPr fontId="37" type="noConversion"/>
  </si>
  <si>
    <t>增减情况</t>
    <phoneticPr fontId="37" type="noConversion"/>
  </si>
  <si>
    <t>增减额</t>
  </si>
  <si>
    <t>增减率</t>
  </si>
  <si>
    <t>一般公共预算支出</t>
    <phoneticPr fontId="3" type="noConversion"/>
  </si>
  <si>
    <r>
      <t>2019</t>
    </r>
    <r>
      <rPr>
        <sz val="11"/>
        <rFont val="宋体"/>
        <family val="3"/>
        <charset val="134"/>
      </rPr>
      <t>年实际执行</t>
    </r>
    <phoneticPr fontId="40" type="noConversion"/>
  </si>
  <si>
    <t>一、本级支出</t>
    <phoneticPr fontId="3" type="noConversion"/>
  </si>
  <si>
    <t>2019年实际执行</t>
    <phoneticPr fontId="40" type="noConversion"/>
  </si>
  <si>
    <t>区直单位</t>
    <phoneticPr fontId="40" type="noConversion"/>
  </si>
  <si>
    <t>镇级</t>
    <phoneticPr fontId="40" type="noConversion"/>
  </si>
  <si>
    <t>教师</t>
    <phoneticPr fontId="40" type="noConversion"/>
  </si>
  <si>
    <t>（一）基本支出</t>
    <phoneticPr fontId="3" type="noConversion"/>
  </si>
  <si>
    <t xml:space="preserve">  1、人员支出</t>
    <phoneticPr fontId="3" type="noConversion"/>
  </si>
  <si>
    <t xml:space="preserve">  1、人员支出</t>
  </si>
  <si>
    <t xml:space="preserve">    在职人员工资</t>
    <phoneticPr fontId="3" type="noConversion"/>
  </si>
  <si>
    <t xml:space="preserve">    在职人员工资</t>
    <phoneticPr fontId="40" type="noConversion"/>
  </si>
  <si>
    <t xml:space="preserve">    离退休费</t>
    <phoneticPr fontId="3" type="noConversion"/>
  </si>
  <si>
    <t xml:space="preserve">    离退休费</t>
  </si>
  <si>
    <t xml:space="preserve">    绩效考核奖金</t>
    <phoneticPr fontId="3" type="noConversion"/>
  </si>
  <si>
    <t xml:space="preserve">    年度岗位考核奖及优秀奖/绩效考核奖金</t>
    <phoneticPr fontId="3" type="noConversion"/>
  </si>
  <si>
    <t xml:space="preserve">    医疗保险财政补助</t>
    <phoneticPr fontId="3" type="noConversion"/>
  </si>
  <si>
    <t xml:space="preserve">    机关、参公人员公务交通补助</t>
    <phoneticPr fontId="3" type="noConversion"/>
  </si>
  <si>
    <t xml:space="preserve">    住房公积金</t>
    <phoneticPr fontId="3" type="noConversion"/>
  </si>
  <si>
    <t xml:space="preserve">    乡镇工作人员补贴</t>
    <phoneticPr fontId="3" type="noConversion"/>
  </si>
  <si>
    <t xml:space="preserve">    社会保险财政补助</t>
  </si>
  <si>
    <t xml:space="preserve">    医疗保险财政补助</t>
    <phoneticPr fontId="40" type="noConversion"/>
  </si>
  <si>
    <t xml:space="preserve">    公务交通补助</t>
    <phoneticPr fontId="3" type="noConversion"/>
  </si>
  <si>
    <t xml:space="preserve">    住房公积金</t>
  </si>
  <si>
    <t xml:space="preserve">    乡镇工作人员补贴</t>
  </si>
  <si>
    <t xml:space="preserve">    社会保险财政补助</t>
    <phoneticPr fontId="3" type="noConversion"/>
  </si>
  <si>
    <t xml:space="preserve">    聘用人员工资及补助</t>
    <phoneticPr fontId="3" type="noConversion"/>
  </si>
  <si>
    <t xml:space="preserve">    社保年金财政补助</t>
    <phoneticPr fontId="3" type="noConversion"/>
  </si>
  <si>
    <t xml:space="preserve">    生育险</t>
    <phoneticPr fontId="40" type="noConversion"/>
  </si>
  <si>
    <t xml:space="preserve">    工伤险</t>
    <phoneticPr fontId="40" type="noConversion"/>
  </si>
  <si>
    <t xml:space="preserve">    聘用人员工资及补助</t>
  </si>
  <si>
    <t xml:space="preserve">    其他基本支出</t>
    <phoneticPr fontId="3" type="noConversion"/>
  </si>
  <si>
    <t xml:space="preserve">    其他人员经费</t>
  </si>
  <si>
    <t xml:space="preserve">  2、公用支出</t>
    <phoneticPr fontId="3" type="noConversion"/>
  </si>
  <si>
    <t xml:space="preserve">    人员定额公用经费</t>
    <phoneticPr fontId="3" type="noConversion"/>
  </si>
  <si>
    <t xml:space="preserve">  2、公用支出</t>
  </si>
  <si>
    <t xml:space="preserve">    其他公用支出</t>
    <phoneticPr fontId="37" type="noConversion"/>
  </si>
  <si>
    <t xml:space="preserve">    人员定额公用经费</t>
  </si>
  <si>
    <t>（二）项目支出</t>
    <phoneticPr fontId="3" type="noConversion"/>
  </si>
  <si>
    <t xml:space="preserve">    其他公用支出</t>
    <phoneticPr fontId="3" type="noConversion"/>
  </si>
  <si>
    <t xml:space="preserve">  1、经常性项目</t>
    <phoneticPr fontId="3" type="noConversion"/>
  </si>
  <si>
    <t xml:space="preserve">  2、一次性项目</t>
    <phoneticPr fontId="3" type="noConversion"/>
  </si>
  <si>
    <t>二、上年结转支出</t>
    <phoneticPr fontId="3" type="noConversion"/>
  </si>
  <si>
    <t>三、上级一般性转移支付补助支出</t>
    <phoneticPr fontId="37" type="noConversion"/>
  </si>
  <si>
    <t>四、上级专项转移支付补助支出</t>
    <phoneticPr fontId="3" type="noConversion"/>
  </si>
  <si>
    <t>政府性基金预算支出</t>
    <phoneticPr fontId="3" type="noConversion"/>
  </si>
  <si>
    <t>三、上级转移支付补助支出</t>
    <phoneticPr fontId="3" type="noConversion"/>
  </si>
  <si>
    <t>收入项目</t>
    <phoneticPr fontId="3" type="noConversion"/>
  </si>
  <si>
    <t>年初预算</t>
    <phoneticPr fontId="3" type="noConversion"/>
  </si>
  <si>
    <t>第一次调
整预算</t>
    <phoneticPr fontId="3" type="noConversion"/>
  </si>
  <si>
    <t>第二次调
整预算</t>
    <phoneticPr fontId="3" type="noConversion"/>
  </si>
  <si>
    <t>预算            执行率</t>
    <phoneticPr fontId="3" type="noConversion"/>
  </si>
  <si>
    <t>上年完成</t>
    <phoneticPr fontId="3" type="noConversion"/>
  </si>
  <si>
    <t>增长率</t>
    <phoneticPr fontId="3" type="noConversion"/>
  </si>
  <si>
    <t>本级财政收入合计</t>
    <phoneticPr fontId="3" type="noConversion"/>
  </si>
  <si>
    <t>一、一般公共预算收入</t>
    <phoneticPr fontId="3" type="noConversion"/>
  </si>
  <si>
    <t>（一）税收收入</t>
    <phoneticPr fontId="3" type="noConversion"/>
  </si>
  <si>
    <t>（二）非税收入</t>
    <phoneticPr fontId="3" type="noConversion"/>
  </si>
  <si>
    <t>1、税务部门</t>
    <phoneticPr fontId="3" type="noConversion"/>
  </si>
  <si>
    <t>3、财政部门</t>
    <phoneticPr fontId="3" type="noConversion"/>
  </si>
  <si>
    <t>非税占比</t>
    <phoneticPr fontId="37" type="noConversion"/>
  </si>
  <si>
    <t>二、政府性基金预算收入</t>
    <phoneticPr fontId="3" type="noConversion"/>
  </si>
  <si>
    <t>支出类别</t>
    <phoneticPr fontId="3" type="noConversion"/>
  </si>
  <si>
    <t>本级一般公共预算支出</t>
    <phoneticPr fontId="3" type="noConversion"/>
  </si>
  <si>
    <t>上年结转支出</t>
    <phoneticPr fontId="3" type="noConversion"/>
  </si>
  <si>
    <t>上级一般性转移支付补助支出</t>
    <phoneticPr fontId="37" type="noConversion"/>
  </si>
  <si>
    <t>上级专项转移支付补助支出</t>
    <phoneticPr fontId="3" type="noConversion"/>
  </si>
  <si>
    <t>全口径一般公共预算支出                   合计</t>
    <phoneticPr fontId="3" type="noConversion"/>
  </si>
  <si>
    <t>各类支出比重</t>
    <phoneticPr fontId="3" type="noConversion"/>
  </si>
  <si>
    <t>2017年全口径一般公共预算支出                   合计</t>
    <phoneticPr fontId="37" type="noConversion"/>
  </si>
  <si>
    <t>2018年全口径一般公共预算支出                   合计</t>
    <phoneticPr fontId="37" type="noConversion"/>
  </si>
  <si>
    <t>年初
预算</t>
    <phoneticPr fontId="3" type="noConversion"/>
  </si>
  <si>
    <t>第一次调整预算</t>
    <phoneticPr fontId="3" type="noConversion"/>
  </si>
  <si>
    <t>第二次调整预算</t>
    <phoneticPr fontId="3" type="noConversion"/>
  </si>
  <si>
    <t>执行数</t>
    <phoneticPr fontId="37" type="noConversion"/>
  </si>
  <si>
    <t>预算           执行率</t>
    <phoneticPr fontId="3" type="noConversion"/>
  </si>
  <si>
    <t>1.一般公共服务支出</t>
  </si>
  <si>
    <t>2.国防支出</t>
  </si>
  <si>
    <t>3.公共安全支出</t>
  </si>
  <si>
    <t>4.教育支出</t>
  </si>
  <si>
    <t>5.科学技术支出</t>
  </si>
  <si>
    <t>6.文化旅游体育与传媒支出</t>
  </si>
  <si>
    <t>7.社会保障和就业支出</t>
  </si>
  <si>
    <t>8.卫生健康支出</t>
  </si>
  <si>
    <t>9.节能环保支出</t>
  </si>
  <si>
    <t>10.城乡社区支出</t>
  </si>
  <si>
    <t>11.农林水支出</t>
  </si>
  <si>
    <t>12.交通运输支出</t>
  </si>
  <si>
    <t>13.资源勘探信息等支出</t>
  </si>
  <si>
    <t>14.商业服务业等支出</t>
  </si>
  <si>
    <t>15.金融支出</t>
  </si>
  <si>
    <t>16.自然资源海洋气象等支出</t>
  </si>
  <si>
    <t>17.住房保障支出</t>
  </si>
  <si>
    <t>18.粮油物资储备支出</t>
  </si>
  <si>
    <t>19.灾害防治及应急管理支出</t>
  </si>
  <si>
    <t>20.其他支出(类)</t>
  </si>
  <si>
    <t>21.债务付息支出</t>
  </si>
  <si>
    <t>22.债务发行费用支出</t>
  </si>
  <si>
    <t>合计</t>
    <phoneticPr fontId="3" type="noConversion"/>
  </si>
  <si>
    <t>全口径民生占比</t>
    <phoneticPr fontId="37" type="noConversion"/>
  </si>
  <si>
    <t>本级民生占比</t>
    <phoneticPr fontId="37" type="noConversion"/>
  </si>
  <si>
    <t>全口径民生</t>
    <phoneticPr fontId="3" type="noConversion"/>
  </si>
  <si>
    <t>本级民生</t>
    <phoneticPr fontId="3" type="noConversion"/>
  </si>
  <si>
    <t>全口径八项支出</t>
    <phoneticPr fontId="3" type="noConversion"/>
  </si>
  <si>
    <t>区划名称</t>
  </si>
  <si>
    <t>单位名称</t>
  </si>
  <si>
    <t>债务编码</t>
  </si>
  <si>
    <t>债务名称</t>
  </si>
  <si>
    <t>债务类型</t>
  </si>
  <si>
    <t>项目名称</t>
  </si>
  <si>
    <t>期初数</t>
  </si>
  <si>
    <t>当期举借</t>
  </si>
  <si>
    <t>当期偿还本金</t>
  </si>
  <si>
    <t>期末数</t>
  </si>
  <si>
    <t>协议号</t>
  </si>
  <si>
    <t>签订日期</t>
  </si>
  <si>
    <t>债权类型</t>
  </si>
  <si>
    <t>债权人</t>
  </si>
  <si>
    <t>债权人全称</t>
  </si>
  <si>
    <t>协议金额</t>
  </si>
  <si>
    <t>组织机构编码</t>
  </si>
  <si>
    <t>潮南区本级</t>
  </si>
  <si>
    <t>潮南区疾病预防控制中心</t>
  </si>
  <si>
    <t>潮南区疾病预防控制中心基建工程征地款</t>
  </si>
  <si>
    <t>一般债务</t>
  </si>
  <si>
    <t>潮南区疾病预防控制中心工程</t>
  </si>
  <si>
    <t>一般公共预算收入</t>
  </si>
  <si>
    <t>潮南水资源保护及利用示范项目办公室</t>
  </si>
  <si>
    <t>潮南水资源保护及利用示范项目</t>
  </si>
  <si>
    <t>陈店镇</t>
  </si>
  <si>
    <t>潮南区陈店镇财政办公室</t>
  </si>
  <si>
    <t>北新工业片区园区设施工程</t>
  </si>
  <si>
    <t>北新工业片区园区设施</t>
  </si>
  <si>
    <t>无</t>
  </si>
  <si>
    <t>2006-04-13</t>
  </si>
  <si>
    <t>应付工程款</t>
  </si>
  <si>
    <t>个人</t>
  </si>
  <si>
    <t>广东胜意建筑有限公司</t>
  </si>
  <si>
    <t>K30351069</t>
  </si>
  <si>
    <t>汕头市潮阳建筑工程总公司第一分公司</t>
  </si>
  <si>
    <t>西环路路基工程</t>
  </si>
  <si>
    <t>2004-03-13</t>
  </si>
  <si>
    <t>汕头市潮阳第一建安总公司潮阳分公司</t>
  </si>
  <si>
    <t>西环路路面工程</t>
  </si>
  <si>
    <t>汕头市潮阳第二建筑总公司潮阳分公司</t>
  </si>
  <si>
    <t>峡山建筑工程公司</t>
  </si>
  <si>
    <t>北新工业园区园内设施</t>
  </si>
  <si>
    <t>2006-02-16</t>
  </si>
  <si>
    <t>潮阳第四建筑总公司</t>
  </si>
  <si>
    <t>成田镇</t>
  </si>
  <si>
    <t>潮南区成田镇财政办公室</t>
  </si>
  <si>
    <t>镇水改工程（铺设管道）</t>
  </si>
  <si>
    <t>专项债务</t>
  </si>
  <si>
    <t>镇水改工程</t>
  </si>
  <si>
    <t>其他政府性基金收入</t>
  </si>
  <si>
    <t>2007-06-15</t>
  </si>
  <si>
    <t>陈沙路路基工程</t>
  </si>
  <si>
    <t>陈沙公路路基工程</t>
  </si>
  <si>
    <t>2001-01-30</t>
  </si>
  <si>
    <t>潮阳市成田建筑公司李继和施工队</t>
  </si>
  <si>
    <t>73217803-1</t>
  </si>
  <si>
    <t>红场镇</t>
  </si>
  <si>
    <t>潮南区红场镇财政办公室</t>
  </si>
  <si>
    <t>种植白叶单丛茶</t>
  </si>
  <si>
    <t>2001-06-28</t>
  </si>
  <si>
    <t>潮阳市第五建筑总公司李继和施工队</t>
  </si>
  <si>
    <t>拖欠黄锡辉红场镇政府综合楼工程款</t>
  </si>
  <si>
    <t>00001</t>
  </si>
  <si>
    <t>1993-03-31</t>
  </si>
  <si>
    <t>其他</t>
  </si>
  <si>
    <t>其他单位</t>
  </si>
  <si>
    <t>秋风岭水厂</t>
  </si>
  <si>
    <t>拖欠郑永彬水潘路一期工程款</t>
  </si>
  <si>
    <t>拖欠郑永彬等水潘路一期工程款</t>
  </si>
  <si>
    <t>1995-12-30</t>
  </si>
  <si>
    <t>郑创雄施工队</t>
  </si>
  <si>
    <t>拖欠吴淑龙水潘路二期工程款</t>
  </si>
  <si>
    <t>1996-12-16</t>
  </si>
  <si>
    <t>高贻森施工队</t>
  </si>
  <si>
    <t>拖欠吴淑龙、黄锡辉村村通公路工程款</t>
  </si>
  <si>
    <t>拖欠吴淑龙村村通公路工程款</t>
  </si>
  <si>
    <t>002</t>
  </si>
  <si>
    <t>1992-05-08</t>
  </si>
  <si>
    <t>流动资金贷款</t>
  </si>
  <si>
    <t>中国农业银行</t>
  </si>
  <si>
    <t>中国农业银行汕头两英支行</t>
  </si>
  <si>
    <t>712227967</t>
  </si>
  <si>
    <t>拖欠吴淑龙红四公路改造工程款</t>
  </si>
  <si>
    <t>拖欠001</t>
  </si>
  <si>
    <t>1996-05-13</t>
  </si>
  <si>
    <t>黄锡辉施工队</t>
  </si>
  <si>
    <t>拖欠周强发、许业丰司神公路押金</t>
  </si>
  <si>
    <t>拖欠许业丰、周强发司神公路押金款</t>
  </si>
  <si>
    <t>拖欠007</t>
  </si>
  <si>
    <t>1996-03-05</t>
  </si>
  <si>
    <t>郑永彬等施工队</t>
  </si>
  <si>
    <t>拖欠吴淑龙潘岱段路基改造工程款</t>
  </si>
  <si>
    <t>潘岱段路基改造工程</t>
  </si>
  <si>
    <t>拖欠008</t>
  </si>
  <si>
    <t>1998-01-05</t>
  </si>
  <si>
    <t>红场第三建筑工程队</t>
  </si>
  <si>
    <t>拖欠李松南敬老院附属工程款</t>
  </si>
  <si>
    <t>拖欠009</t>
  </si>
  <si>
    <t>2000-08-05</t>
  </si>
  <si>
    <t>吴淑龙、黄锡辉</t>
  </si>
  <si>
    <t>井都镇</t>
  </si>
  <si>
    <t>潮南区井都镇财政办公室</t>
  </si>
  <si>
    <t>井都水厂土建工程款</t>
  </si>
  <si>
    <t>井都水厂建设</t>
  </si>
  <si>
    <t>拖欠010</t>
  </si>
  <si>
    <t>1999-06-05</t>
  </si>
  <si>
    <t>吴淑龙</t>
  </si>
  <si>
    <t>井都水厂管道工程款</t>
  </si>
  <si>
    <t>拖欠011</t>
  </si>
  <si>
    <t>2002-10-05</t>
  </si>
  <si>
    <t>周强发、许业丰</t>
  </si>
  <si>
    <t>井都水厂源水开口补偿款</t>
  </si>
  <si>
    <t>拖欠012</t>
  </si>
  <si>
    <t>1998-08-05</t>
  </si>
  <si>
    <t>井田公路拓宽工程款</t>
  </si>
  <si>
    <t>井田公路拓宽工程</t>
  </si>
  <si>
    <t>拖欠013</t>
  </si>
  <si>
    <t>2000-12-05</t>
  </si>
  <si>
    <t>李松南</t>
  </si>
  <si>
    <t>井都水厂监理费</t>
  </si>
  <si>
    <t>001</t>
  </si>
  <si>
    <t>2002-03-19</t>
  </si>
  <si>
    <t>潮阳市第二建筑公司</t>
  </si>
  <si>
    <t>007023643</t>
  </si>
  <si>
    <t>雷岭镇</t>
  </si>
  <si>
    <t>潮南区雷岭镇财政办公室</t>
  </si>
  <si>
    <t>程控电话工程贷款</t>
  </si>
  <si>
    <t>潮阳三凌公司</t>
  </si>
  <si>
    <t>福利包袋厂贷款</t>
  </si>
  <si>
    <t>003</t>
  </si>
  <si>
    <t>原潮供水公司</t>
  </si>
  <si>
    <t>麻赤路改造工程</t>
  </si>
  <si>
    <t>006</t>
  </si>
  <si>
    <t>1999-11-05</t>
  </si>
  <si>
    <t>潮阳建筑工程总公司</t>
  </si>
  <si>
    <t>两英镇</t>
  </si>
  <si>
    <t>潮南区两英镇财政办公室</t>
  </si>
  <si>
    <t>环市路工程</t>
  </si>
  <si>
    <t>004</t>
  </si>
  <si>
    <t>潮阳建设监理公司</t>
  </si>
  <si>
    <t>干部职工宿舍工程</t>
  </si>
  <si>
    <t>1992-08-12</t>
  </si>
  <si>
    <t>农行雷岭营业所</t>
  </si>
  <si>
    <t>007023520</t>
  </si>
  <si>
    <t>陈沙公路路基前期工程</t>
  </si>
  <si>
    <t>陈沙公路前期路基工程</t>
  </si>
  <si>
    <t>国有土地使用权出让金收入</t>
  </si>
  <si>
    <t>1993-10-08</t>
  </si>
  <si>
    <t>陇田镇</t>
  </si>
  <si>
    <t>潮南区陇田镇财政办公室</t>
  </si>
  <si>
    <t>道路建设</t>
  </si>
  <si>
    <t>2002-01-18</t>
  </si>
  <si>
    <t>陈福顺等</t>
  </si>
  <si>
    <t>潮南区陈沙公路前期路基工程</t>
  </si>
  <si>
    <t>1995-02-01</t>
  </si>
  <si>
    <t>环市路工程施工队</t>
  </si>
  <si>
    <t>K3035132-5</t>
  </si>
  <si>
    <t>镇址工程</t>
  </si>
  <si>
    <t>1996-02-01</t>
  </si>
  <si>
    <t>杨基波施工队</t>
  </si>
  <si>
    <t>和葵公路田心路段第二路段路基工程</t>
  </si>
  <si>
    <t>和葵公路田心路段工程</t>
  </si>
  <si>
    <t>陈沙公路工程施工队</t>
  </si>
  <si>
    <t>井田路</t>
  </si>
  <si>
    <t>2015-01-01</t>
  </si>
  <si>
    <t>和葵公路田心路段第六路段路基工程</t>
  </si>
  <si>
    <t>1994-03-10</t>
  </si>
  <si>
    <t>李增泉工程队</t>
  </si>
  <si>
    <t>007023301</t>
  </si>
  <si>
    <t>和葵公路田心路段第五路段路基工程</t>
  </si>
  <si>
    <t>2006-01-01</t>
  </si>
  <si>
    <t>黄辉武</t>
  </si>
  <si>
    <t>和葵公路田心路段第七路段路基工程</t>
  </si>
  <si>
    <t>1994-12-05</t>
  </si>
  <si>
    <t>王镇顺工程队</t>
  </si>
  <si>
    <t>和葵公路田心路段零星工程</t>
  </si>
  <si>
    <t>1996-01-01</t>
  </si>
  <si>
    <t>陈克南</t>
  </si>
  <si>
    <t>和葵公路田心路段路肩填土工程</t>
  </si>
  <si>
    <t>1993-07-07</t>
  </si>
  <si>
    <t>陈楚麟工程队</t>
  </si>
  <si>
    <t>陈江泉</t>
  </si>
  <si>
    <t>市溪工程</t>
  </si>
  <si>
    <t>李钟泉、许定和</t>
  </si>
  <si>
    <t>潮阳市田心镇水柳水库除险加固工程</t>
  </si>
  <si>
    <t>潮阳市田心镇水柳水库除险加固工程（大坝工程）</t>
  </si>
  <si>
    <t>谢崇光、郑绍杨</t>
  </si>
  <si>
    <t>田心自来水厂工程</t>
  </si>
  <si>
    <t>谢庆新</t>
  </si>
  <si>
    <t>胪岗镇</t>
  </si>
  <si>
    <t>潮南区胪岗镇财政办公室</t>
  </si>
  <si>
    <t>陈汉龙</t>
  </si>
  <si>
    <t>水改工程</t>
  </si>
  <si>
    <t>陈良钦</t>
  </si>
  <si>
    <t>司马浦镇</t>
  </si>
  <si>
    <t>潮南区司马浦镇财政办公室</t>
  </si>
  <si>
    <t>司马浦镇三联路工程</t>
  </si>
  <si>
    <t>2003-01-01</t>
  </si>
  <si>
    <t>潮阳市沙陇建筑工程公司</t>
  </si>
  <si>
    <t>峡山</t>
  </si>
  <si>
    <t>潮南区峡山街道财政办公室</t>
  </si>
  <si>
    <t>国道324改线工程潮南段（一期）第二标段工程项目BT融资</t>
  </si>
  <si>
    <t>国道324改线工程潮南段（一期）</t>
  </si>
  <si>
    <t>2002-01-01</t>
  </si>
  <si>
    <t>潮阳市水电建安总公司</t>
  </si>
  <si>
    <t>仙城镇</t>
  </si>
  <si>
    <t>潮南区仙城镇财政办公室</t>
  </si>
  <si>
    <t>陈沙公路仙城西段</t>
  </si>
  <si>
    <t>陈沙公路仙城西段工程</t>
  </si>
  <si>
    <t>原潮阳市第二建筑总公司</t>
  </si>
  <si>
    <t>陈沙公路仙城东段</t>
  </si>
  <si>
    <t>陈沙公路仙城东段工程</t>
  </si>
  <si>
    <t>0501</t>
  </si>
  <si>
    <t>1996-01-09</t>
  </si>
  <si>
    <t>郑楚南、吴创沐、张镇荣</t>
  </si>
  <si>
    <t>007023264</t>
  </si>
  <si>
    <t>汕头市潮南区水务局</t>
  </si>
  <si>
    <t>序号</t>
  </si>
  <si>
    <t>主管部门</t>
  </si>
  <si>
    <t>批次</t>
  </si>
  <si>
    <t>债券类型</t>
  </si>
  <si>
    <t>安排金额</t>
  </si>
  <si>
    <t>支出(资金已出财政支付中心)</t>
  </si>
  <si>
    <t>未出财政金额</t>
  </si>
  <si>
    <t>金额</t>
  </si>
  <si>
    <t>比例</t>
  </si>
  <si>
    <t>汕头市潮南区发展和改革局</t>
  </si>
  <si>
    <t>汕头市潮南区地方储备粮仓库</t>
  </si>
  <si>
    <t>第一批</t>
  </si>
  <si>
    <t>专项债券</t>
  </si>
  <si>
    <t>汕头市潮南区城市管理和综合执法局</t>
  </si>
  <si>
    <t>练江综合整治项目（峡山电排站扩建工程）（省定重点项目）</t>
  </si>
  <si>
    <t>乡村振兴（练江流域城镇污水处理提质增效"源头截污、雨污分流”项目）</t>
  </si>
  <si>
    <t>第二批</t>
  </si>
  <si>
    <t>一般债券</t>
  </si>
  <si>
    <t>汕头市潮南区交通运输局</t>
  </si>
  <si>
    <t>乡村振兴（仙城镇南山环线乡村旅游道路建设工程）</t>
  </si>
  <si>
    <t>汕头市潮南区卫生健康局</t>
  </si>
  <si>
    <t>第三批</t>
  </si>
  <si>
    <t>第四批</t>
  </si>
  <si>
    <t>附表8：</t>
    <phoneticPr fontId="3" type="noConversion"/>
  </si>
  <si>
    <t>2019年区结算往来资金情况表</t>
    <phoneticPr fontId="3" type="noConversion"/>
  </si>
  <si>
    <t xml:space="preserve">                                                       截止2019.12.31                                                         单位：元 </t>
  </si>
  <si>
    <t>序号</t>
    <phoneticPr fontId="3" type="noConversion"/>
  </si>
  <si>
    <t>项目</t>
  </si>
  <si>
    <t>潮南</t>
  </si>
  <si>
    <t>2018年底结算往来款（市欠+、欠市-）</t>
  </si>
  <si>
    <t>2019年应拨补数（2=3+6+8）</t>
  </si>
  <si>
    <t>1、税收返还净额(3=4+5)</t>
  </si>
  <si>
    <t>其中：增值、消费、所得税基数成品油等返还</t>
  </si>
  <si>
    <t xml:space="preserve">     其他税收返还</t>
  </si>
  <si>
    <t>2、专款及一次性</t>
  </si>
  <si>
    <t xml:space="preserve">     其中：公共预算</t>
  </si>
  <si>
    <t xml:space="preserve">          基金</t>
  </si>
  <si>
    <t>3、专项拨补</t>
  </si>
  <si>
    <t xml:space="preserve"> 本年实际补助数</t>
  </si>
  <si>
    <t>当年市欠+、欠市-（11=2-10）</t>
  </si>
  <si>
    <t>当年实际往来款</t>
  </si>
  <si>
    <t xml:space="preserve">   其中：已拨借款</t>
  </si>
  <si>
    <t>县、区应上解</t>
  </si>
  <si>
    <t>已上解</t>
  </si>
  <si>
    <t>县、区欠解+、多解-（16=14-15）</t>
  </si>
  <si>
    <t>相抵年终市欠+、欠市-（17=1+11-12-16)</t>
  </si>
  <si>
    <t>历年国债转贷小计</t>
  </si>
  <si>
    <t>往来款（包国债）市欠+、欠市-（19=17-18）</t>
  </si>
  <si>
    <t>剔除2020年1-3月拨2019年区县跨年款(截至20200325）</t>
  </si>
  <si>
    <t>实际往来款市欠+、欠市- （21=19-20）</t>
  </si>
  <si>
    <t xml:space="preserve">   2.临时借出款</t>
  </si>
  <si>
    <t>实际往来款市欠+、欠市-（25=21-22）</t>
  </si>
  <si>
    <t>单位：元</t>
  </si>
  <si>
    <t>项         目</t>
  </si>
  <si>
    <t>更正数额</t>
  </si>
  <si>
    <t>更正后2020年预算数</t>
  </si>
  <si>
    <t>累计执行数</t>
  </si>
  <si>
    <t>一、期初余额</t>
  </si>
  <si>
    <t>二、收入合计</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</si>
  <si>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</si>
  <si>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</si>
  <si>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</si>
  <si>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</si>
  <si>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</si>
  <si>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</si>
  <si>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7.集体补助收入</t>
  </si>
  <si>
    <t xml:space="preserve">  （二）上级补助收入</t>
  </si>
  <si>
    <t xml:space="preserve">  （三）下级上解收入</t>
  </si>
  <si>
    <t>三、支出合计</t>
  </si>
  <si>
    <t xml:space="preserve">    其中:1.社会保险待遇支出</t>
  </si>
  <si>
    <t xml:space="preserve">         2.转移支出</t>
  </si>
  <si>
    <t xml:space="preserve">         3.其他支出</t>
  </si>
  <si>
    <t xml:space="preserve">         4.上解上级支出</t>
  </si>
  <si>
    <t>四、当期收支结余</t>
  </si>
  <si>
    <t>五、期末滚存结余</t>
  </si>
  <si>
    <t xml:space="preserve">  （一）收入小计</t>
  </si>
  <si>
    <t xml:space="preserve">      1.个人缴费收入</t>
  </si>
  <si>
    <t xml:space="preserve">      2.集体补助收入</t>
  </si>
  <si>
    <t xml:space="preserve">      3.利息收入</t>
  </si>
  <si>
    <t xml:space="preserve">      4.财政补贴收入</t>
  </si>
  <si>
    <t xml:space="preserve">      5.委托投资收益</t>
  </si>
  <si>
    <t xml:space="preserve">      6.其他收入</t>
  </si>
  <si>
    <t xml:space="preserve">      7.转移收入</t>
  </si>
  <si>
    <t xml:space="preserve">  （一）支出小计</t>
  </si>
  <si>
    <t xml:space="preserve">      1.基础养老金支出</t>
  </si>
  <si>
    <t xml:space="preserve">      2.个人账户养老金支出</t>
  </si>
  <si>
    <t xml:space="preserve">      3.丧葬补助金支出</t>
  </si>
  <si>
    <t xml:space="preserve">      4.其他支出</t>
  </si>
  <si>
    <t xml:space="preserve">      5.转移支出</t>
  </si>
  <si>
    <t xml:space="preserve">  （二）补助下级支出</t>
  </si>
  <si>
    <t xml:space="preserve">  （三）上解上级支出</t>
  </si>
  <si>
    <t xml:space="preserve">      1.基本养老保险费收入</t>
  </si>
  <si>
    <t xml:space="preserve">      2.利息收入</t>
  </si>
  <si>
    <t xml:space="preserve">      3.财政补贴收入</t>
  </si>
  <si>
    <t xml:space="preserve">      4.委托投资收益</t>
  </si>
  <si>
    <t xml:space="preserve">      5.其他收入</t>
  </si>
  <si>
    <t xml:space="preserve">      6.转移收入</t>
  </si>
  <si>
    <t xml:space="preserve">      1.基本养老金支出</t>
  </si>
  <si>
    <t xml:space="preserve">      2.其他支出</t>
  </si>
  <si>
    <t xml:space="preserve">      3.转移支出</t>
  </si>
  <si>
    <t>2020年预算数
（报人大批复数）</t>
    <phoneticPr fontId="5" type="noConversion"/>
  </si>
  <si>
    <t>预算执行进度
(%)</t>
    <phoneticPr fontId="5" type="noConversion"/>
  </si>
  <si>
    <t>更正后
2020年预算数</t>
    <phoneticPr fontId="5" type="noConversion"/>
  </si>
  <si>
    <t>备注：期初余额(即2020年城乡居民基本养老保险基金收支预算表中的2019年年末滚存结余537437885.13元)在2020年报人大审批时是采用2019年前三季度的实际发生数去预测全年数据，其中第四季度收入（包含缴费收入、集体补助收入、利息收入、财政补贴收入、投资收益、其他收入和转移收入）波动较大，前三季度基金收入实际发生数是3.4亿元，以此预测全年总收入是4.3亿元（先算出前三季度平均每季度收入再乘以全年四季度）。但截至2019年12月底，因为全年的上级补助资金已在前三季度全部下达，整个第四季度再无任何上级补助收入到账。导致2019年全年收入的预测数比实际发生数多出0.9亿元。使得2020年期初数实际发生数438156775.03元比原人大批复数537437885.13元减少99281130.10元。</t>
    <phoneticPr fontId="5" type="noConversion"/>
  </si>
  <si>
    <t>更正后
2020年预算数</t>
    <phoneticPr fontId="5" type="noConversion"/>
  </si>
  <si>
    <t>备注：1.期初余额(即2020年机关事业单位基本养老保险基金预算表中的2019年年末滚存结余365536878.65元)在2020年报人大审批时是采用2019年前三季度的实际发生数去预测全年数据，其中第四季度由于上级部门突然通知开展机关事业单位准备期补缴工作，导致第四季度在正常缴费收入外，新增0.8亿清算收入。同时，需补发全区差额拨款单位准备期的养老待遇，额外多支付1.63亿元清算支出。导致报人大批复数与实际发生数产生0.83亿元的差数。使得本表2020年期初余额的实际发生数272033236.56元比原人大批复数365536878.65元减少93503642.09元。                                                                                                                                                                     
     2.上级补助收入3490000元是省社保局下达的省属非驻穗机关事业单位待遇周转金，上解上级支出3461617.65元是上缴省社保局的省属非驻穗机关事业单位缴费收入，此两个科目在2019年第三季度编制2020年预算时，按照预算编制要求，不列入编报，没有数据。在会计核算时，按会计编报要求，省社保局下达的省属非驻穗机关事业单位待遇周转金计入上级补助收入科目，上缴省社保局的省属非驻穗机关事业单位缴费收入计入上解上级支出。因此在预算执行系统取数时，此两个科目有发生额。</t>
    <phoneticPr fontId="5" type="noConversion"/>
  </si>
  <si>
    <t>-</t>
    <phoneticPr fontId="53" type="noConversion"/>
  </si>
  <si>
    <t>练江综合整治项目（陈店、陇田、司马浦污水处理厂二期配套管网建设项目）（省定重点项目）</t>
    <phoneticPr fontId="53" type="noConversion"/>
  </si>
  <si>
    <t>汕头市潮南区人民医院异地新建</t>
    <phoneticPr fontId="53" type="noConversion"/>
  </si>
  <si>
    <t>汕头市潮南区峡山污水处理厂三期厂网工程及两英污水处理厂扩增管网工程</t>
    <phoneticPr fontId="53" type="noConversion"/>
  </si>
  <si>
    <t>潮南区2020年地方政府新增债券资金使用情况表</t>
    <phoneticPr fontId="53" type="noConversion"/>
  </si>
  <si>
    <t>合计</t>
    <phoneticPr fontId="5" type="noConversion"/>
  </si>
  <si>
    <t>-</t>
    <phoneticPr fontId="53" type="noConversion"/>
  </si>
  <si>
    <t>未实际
支出金额</t>
    <phoneticPr fontId="5" type="noConversion"/>
  </si>
  <si>
    <t>已实际支出</t>
    <phoneticPr fontId="5" type="noConversion"/>
  </si>
  <si>
    <t>2019年全口径一般公共预算支出合计</t>
    <phoneticPr fontId="3" type="noConversion"/>
  </si>
  <si>
    <t>潮南区2020年全口径一般公共预算支出分类表</t>
    <phoneticPr fontId="3" type="noConversion"/>
  </si>
  <si>
    <t>潮南区2020年本级财政收入预算执行情况表</t>
    <phoneticPr fontId="3" type="noConversion"/>
  </si>
  <si>
    <t>总计</t>
    <phoneticPr fontId="5" type="noConversion"/>
  </si>
  <si>
    <t>债券合计</t>
    <phoneticPr fontId="5" type="noConversion"/>
  </si>
  <si>
    <t>其中:38460384.4元专项应付利息2020年列支</t>
    <phoneticPr fontId="76" type="noConversion"/>
  </si>
  <si>
    <t>政府性基金收入</t>
    <phoneticPr fontId="5" type="noConversion"/>
  </si>
  <si>
    <t>地方政府新增（置换）专项债券</t>
    <phoneticPr fontId="5" type="noConversion"/>
  </si>
  <si>
    <t>潮南区</t>
    <phoneticPr fontId="5" type="noConversion"/>
  </si>
  <si>
    <t>其中:4860553元一般利息2020年列支</t>
    <phoneticPr fontId="76" type="noConversion"/>
  </si>
  <si>
    <t>地方政府新增（置换）一般债券</t>
    <phoneticPr fontId="5" type="noConversion"/>
  </si>
  <si>
    <t>``</t>
    <phoneticPr fontId="5" type="noConversion"/>
  </si>
  <si>
    <t>镇级合计</t>
    <phoneticPr fontId="76" type="noConversion"/>
  </si>
  <si>
    <t>系统剔除</t>
    <phoneticPr fontId="76" type="noConversion"/>
  </si>
  <si>
    <t>区级合计</t>
    <phoneticPr fontId="76" type="noConversion"/>
  </si>
  <si>
    <t>当期支付
利息及费用</t>
    <phoneticPr fontId="5" type="noConversion"/>
  </si>
  <si>
    <t>计划偿债
资金来源</t>
    <phoneticPr fontId="76" type="noConversion"/>
  </si>
  <si>
    <t>潮南区2020年地方政府性债务情况明细表</t>
    <phoneticPr fontId="76" type="noConversion"/>
  </si>
  <si>
    <t>备注：2020年预算数（报人大批复数）的期初余额（902974763.78元），由城乡居民基本养老保险基金和机关事业单位基本养老保险基金预算期初余额数组成，是根据2019年前三季度的实际发生数预测全年数据得出。更正后2020年预算数的期初余额（710189991.59元），是全省财政社保预决算系统根据2019年全年实际执行情况直接导出。为确保2020年预算数的期初余额与全省财政社保预决算系统保持一致，插入“更正数额”列，对2020年预算数的期初余额进行更正，期末滚存结余数同步更正。具体详见《2020年城乡居民基本养老保险基金预算执行情况表》和《2020年机关事业单位基本养老保险基金预算执行情况表》。</t>
    <phoneticPr fontId="5" type="noConversion"/>
  </si>
  <si>
    <t>预算执行进度
(%)</t>
    <phoneticPr fontId="5" type="noConversion"/>
  </si>
  <si>
    <t>一、期初余额</t>
    <phoneticPr fontId="5" type="noConversion"/>
  </si>
  <si>
    <t>五、期末滚存结余</t>
    <phoneticPr fontId="5" type="noConversion"/>
  </si>
  <si>
    <t>（一）国有土地使用权出让收入</t>
    <phoneticPr fontId="3" type="noConversion"/>
  </si>
  <si>
    <t>（二）城市基础设施配套费收入</t>
    <phoneticPr fontId="3" type="noConversion"/>
  </si>
  <si>
    <t>（三）彩票公益金收入（按规定需专款专用）</t>
    <phoneticPr fontId="3" type="noConversion"/>
  </si>
  <si>
    <t>（四）农业土地开发资金收入（按规定需专款专用）</t>
    <phoneticPr fontId="3" type="noConversion"/>
  </si>
  <si>
    <t>（五）污水处理费收入</t>
    <phoneticPr fontId="3" type="noConversion"/>
  </si>
  <si>
    <t>（六）其他政府性基金预算收入</t>
    <phoneticPr fontId="3" type="noConversion"/>
  </si>
  <si>
    <t>2020年
执行数</t>
    <phoneticPr fontId="3" type="noConversion"/>
  </si>
  <si>
    <r>
      <t>潮南区</t>
    </r>
    <r>
      <rPr>
        <b/>
        <sz val="22"/>
        <rFont val="Times New Roman"/>
        <family val="1"/>
      </rPr>
      <t>2020</t>
    </r>
    <r>
      <rPr>
        <b/>
        <sz val="22"/>
        <rFont val="宋体"/>
        <family val="3"/>
        <charset val="134"/>
      </rPr>
      <t>年财政支出项目明细表</t>
    </r>
    <phoneticPr fontId="3" type="noConversion"/>
  </si>
  <si>
    <t>2020年支出</t>
    <phoneticPr fontId="37" type="noConversion"/>
  </si>
  <si>
    <t>含2020年事业单位在职人员奖励性绩效工资定额补助2472万元</t>
    <phoneticPr fontId="5" type="noConversion"/>
  </si>
  <si>
    <t>227.预备费</t>
    <phoneticPr fontId="5" type="noConversion"/>
  </si>
  <si>
    <t>变动率</t>
    <phoneticPr fontId="5" type="noConversion"/>
  </si>
  <si>
    <t>变动额</t>
    <phoneticPr fontId="5" type="noConversion"/>
  </si>
  <si>
    <t>九、调入资金（收缴成田镇等12个卫生院财政历年财政垫付退休待遇补助）</t>
    <phoneticPr fontId="5" type="noConversion"/>
  </si>
  <si>
    <t>附件3</t>
    <phoneticPr fontId="3" type="noConversion"/>
  </si>
  <si>
    <t>附件4</t>
    <phoneticPr fontId="3" type="noConversion"/>
  </si>
  <si>
    <t>附件5</t>
    <phoneticPr fontId="3" type="noConversion"/>
  </si>
  <si>
    <t>附件6-2</t>
    <phoneticPr fontId="5" type="noConversion"/>
  </si>
  <si>
    <t>附件6-3</t>
    <phoneticPr fontId="5" type="noConversion"/>
  </si>
  <si>
    <t>附件7</t>
    <phoneticPr fontId="5" type="noConversion"/>
  </si>
  <si>
    <t>单位：万元</t>
    <phoneticPr fontId="5" type="noConversion"/>
  </si>
  <si>
    <t>附件8</t>
    <phoneticPr fontId="5" type="noConversion"/>
  </si>
  <si>
    <t>附件6-1</t>
    <phoneticPr fontId="5" type="noConversion"/>
  </si>
  <si>
    <t>2020年城乡居民基本养老保险基金预算执行情况表</t>
    <phoneticPr fontId="5" type="noConversion"/>
  </si>
  <si>
    <t>2020年机关事业单位基本养老保险基金预算执行情况表</t>
    <phoneticPr fontId="5" type="noConversion"/>
  </si>
  <si>
    <t>九、调入资金（历年机关事业养老保险基金准备期清算差额）</t>
    <phoneticPr fontId="5" type="noConversion"/>
  </si>
  <si>
    <t>潮南区2020年一般公共预算收支总表</t>
    <phoneticPr fontId="5" type="noConversion"/>
  </si>
  <si>
    <t>潮南区2020年政府性基金预算收支总表</t>
    <phoneticPr fontId="5" type="noConversion"/>
  </si>
  <si>
    <t>2020年社会保险基金预算执行情况总表</t>
    <phoneticPr fontId="5" type="noConversion"/>
  </si>
</sst>
</file>

<file path=xl/styles.xml><?xml version="1.0" encoding="utf-8"?>
<styleSheet xmlns="http://schemas.openxmlformats.org/spreadsheetml/2006/main">
  <numFmts count="13">
    <numFmt numFmtId="41" formatCode="_ * #,##0_ ;_ * \-#,##0_ ;_ * &quot;-&quot;_ ;_ @_ "/>
    <numFmt numFmtId="43" formatCode="_ * #,##0.00_ ;_ * \-#,##0.00_ ;_ * &quot;-&quot;??_ ;_ @_ "/>
    <numFmt numFmtId="176" formatCode="0_ "/>
    <numFmt numFmtId="177" formatCode="0.00_ ;[Red]\-0.00\ "/>
    <numFmt numFmtId="178" formatCode="0_ ;[Red]\-0\ "/>
    <numFmt numFmtId="179" formatCode="#,##0_);[Red]\(#,##0\)"/>
    <numFmt numFmtId="180" formatCode="#,##0.00_ ;\-#,##0.00;;"/>
    <numFmt numFmtId="181" formatCode="yyyy\-mm\-dd"/>
    <numFmt numFmtId="182" formatCode="#,##0.00_ ;\-#,##0.00"/>
    <numFmt numFmtId="183" formatCode="#,##0.000000000_ "/>
    <numFmt numFmtId="184" formatCode="#,##0.00_ "/>
    <numFmt numFmtId="185" formatCode="0.00_ "/>
    <numFmt numFmtId="186" formatCode="0.00%;\-0.00%;;"/>
  </numFmts>
  <fonts count="83">
    <font>
      <sz val="11"/>
      <color theme="1"/>
      <name val="Tahoma"/>
      <charset val="134"/>
    </font>
    <font>
      <b/>
      <sz val="12"/>
      <name val="宋体"/>
      <family val="3"/>
      <charset val="134"/>
    </font>
    <font>
      <sz val="10"/>
      <name val="Arial"/>
      <family val="2"/>
    </font>
    <font>
      <sz val="9"/>
      <name val="宋体"/>
      <family val="3"/>
      <charset val="134"/>
    </font>
    <font>
      <sz val="12"/>
      <name val="宋体"/>
      <family val="3"/>
      <charset val="134"/>
    </font>
    <font>
      <sz val="9"/>
      <name val="Tahoma"/>
      <family val="2"/>
    </font>
    <font>
      <sz val="14"/>
      <name val="宋体"/>
      <family val="3"/>
      <charset val="134"/>
    </font>
    <font>
      <sz val="12"/>
      <name val="黑体"/>
      <family val="3"/>
      <charset val="134"/>
    </font>
    <font>
      <b/>
      <sz val="24"/>
      <name val="宋体"/>
      <family val="3"/>
      <charset val="134"/>
    </font>
    <font>
      <b/>
      <sz val="14"/>
      <name val="宋体"/>
      <family val="3"/>
      <charset val="134"/>
    </font>
    <font>
      <sz val="14"/>
      <name val="黑体"/>
      <family val="3"/>
      <charset val="134"/>
    </font>
    <font>
      <sz val="14"/>
      <name val="宋体"/>
      <family val="3"/>
      <charset val="134"/>
      <scheme val="minor"/>
    </font>
    <font>
      <sz val="11"/>
      <color indexed="8"/>
      <name val="宋体"/>
      <family val="3"/>
      <charset val="134"/>
    </font>
    <font>
      <sz val="11"/>
      <color theme="1"/>
      <name val="宋体"/>
      <family val="3"/>
      <charset val="134"/>
      <scheme val="minor"/>
    </font>
    <font>
      <sz val="11"/>
      <color indexed="9"/>
      <name val="宋体"/>
      <family val="3"/>
      <charset val="134"/>
    </font>
    <font>
      <b/>
      <sz val="11"/>
      <color indexed="63"/>
      <name val="宋体"/>
      <family val="3"/>
      <charset val="134"/>
    </font>
    <font>
      <sz val="11"/>
      <color theme="1"/>
      <name val="Tahoma"/>
      <family val="2"/>
    </font>
    <font>
      <b/>
      <sz val="13"/>
      <color indexed="56"/>
      <name val="宋体"/>
      <family val="3"/>
      <charset val="134"/>
    </font>
    <font>
      <b/>
      <sz val="11"/>
      <color indexed="52"/>
      <name val="宋体"/>
      <family val="3"/>
      <charset val="134"/>
    </font>
    <font>
      <sz val="11"/>
      <color indexed="17"/>
      <name val="宋体"/>
      <family val="3"/>
      <charset val="134"/>
    </font>
    <font>
      <b/>
      <sz val="11"/>
      <color indexed="9"/>
      <name val="宋体"/>
      <family val="3"/>
      <charset val="134"/>
    </font>
    <font>
      <b/>
      <sz val="18"/>
      <color indexed="56"/>
      <name val="宋体"/>
      <family val="3"/>
      <charset val="134"/>
    </font>
    <font>
      <sz val="11"/>
      <color indexed="20"/>
      <name val="宋体"/>
      <family val="3"/>
      <charset val="134"/>
    </font>
    <font>
      <sz val="11"/>
      <color indexed="52"/>
      <name val="宋体"/>
      <family val="3"/>
      <charset val="134"/>
    </font>
    <font>
      <b/>
      <sz val="11"/>
      <color indexed="8"/>
      <name val="宋体"/>
      <family val="3"/>
      <charset val="134"/>
    </font>
    <font>
      <b/>
      <sz val="15"/>
      <color indexed="56"/>
      <name val="宋体"/>
      <family val="3"/>
      <charset val="134"/>
    </font>
    <font>
      <b/>
      <sz val="11"/>
      <color indexed="56"/>
      <name val="宋体"/>
      <family val="3"/>
      <charset val="134"/>
    </font>
    <font>
      <sz val="11"/>
      <color indexed="10"/>
      <name val="宋体"/>
      <family val="3"/>
      <charset val="134"/>
    </font>
    <font>
      <i/>
      <sz val="11"/>
      <color indexed="23"/>
      <name val="宋体"/>
      <family val="3"/>
      <charset val="134"/>
    </font>
    <font>
      <sz val="11"/>
      <color indexed="60"/>
      <name val="宋体"/>
      <family val="3"/>
      <charset val="134"/>
    </font>
    <font>
      <sz val="11"/>
      <color indexed="62"/>
      <name val="宋体"/>
      <family val="3"/>
      <charset val="134"/>
    </font>
    <font>
      <b/>
      <sz val="11"/>
      <name val="宋体"/>
      <family val="3"/>
      <charset val="134"/>
      <scheme val="minor"/>
    </font>
    <font>
      <sz val="11"/>
      <color theme="1"/>
      <name val="Tahoma"/>
      <family val="2"/>
    </font>
    <font>
      <sz val="10"/>
      <name val="宋体"/>
      <family val="3"/>
      <charset val="134"/>
    </font>
    <font>
      <b/>
      <sz val="22"/>
      <name val="宋体"/>
      <family val="3"/>
      <charset val="134"/>
    </font>
    <font>
      <b/>
      <sz val="22"/>
      <name val="Times New Roman"/>
      <family val="1"/>
    </font>
    <font>
      <sz val="11"/>
      <name val="宋体"/>
      <family val="3"/>
      <charset val="134"/>
    </font>
    <font>
      <sz val="9"/>
      <name val="Tahoma"/>
      <family val="2"/>
      <charset val="134"/>
    </font>
    <font>
      <b/>
      <sz val="11"/>
      <name val="宋体"/>
      <family val="3"/>
      <charset val="134"/>
    </font>
    <font>
      <sz val="11"/>
      <name val="Tahoma"/>
      <family val="2"/>
    </font>
    <font>
      <sz val="9"/>
      <name val="宋体"/>
      <family val="2"/>
      <charset val="134"/>
    </font>
    <font>
      <b/>
      <sz val="10"/>
      <name val="宋体"/>
      <family val="3"/>
      <charset val="134"/>
    </font>
    <font>
      <b/>
      <sz val="9"/>
      <color indexed="81"/>
      <name val="宋体"/>
      <family val="3"/>
      <charset val="134"/>
    </font>
    <font>
      <sz val="9"/>
      <color indexed="81"/>
      <name val="Tahoma"/>
      <family val="2"/>
    </font>
    <font>
      <sz val="9"/>
      <color indexed="81"/>
      <name val="宋体"/>
      <family val="3"/>
      <charset val="134"/>
    </font>
    <font>
      <b/>
      <sz val="12"/>
      <name val="宋体"/>
      <family val="3"/>
      <charset val="134"/>
      <scheme val="minor"/>
    </font>
    <font>
      <sz val="12"/>
      <name val="宋体"/>
      <family val="3"/>
      <charset val="134"/>
      <scheme val="minor"/>
    </font>
    <font>
      <b/>
      <sz val="12"/>
      <name val="楷体_GB2312"/>
      <family val="3"/>
      <charset val="134"/>
    </font>
    <font>
      <sz val="12"/>
      <name val="仿宋_GB2312"/>
      <family val="3"/>
      <charset val="134"/>
    </font>
    <font>
      <b/>
      <sz val="18"/>
      <name val="宋体"/>
      <family val="3"/>
      <charset val="134"/>
    </font>
    <font>
      <sz val="12"/>
      <name val="Times New Roman"/>
      <family val="1"/>
    </font>
    <font>
      <sz val="11"/>
      <color theme="1"/>
      <name val="宋体"/>
      <family val="3"/>
      <charset val="134"/>
    </font>
    <font>
      <sz val="11"/>
      <color theme="1"/>
      <name val="黑体"/>
      <family val="3"/>
      <charset val="134"/>
    </font>
    <font>
      <sz val="9"/>
      <name val="宋体"/>
      <family val="3"/>
      <charset val="134"/>
      <scheme val="minor"/>
    </font>
    <font>
      <b/>
      <sz val="12"/>
      <name val="仿宋"/>
      <family val="3"/>
      <charset val="134"/>
    </font>
    <font>
      <b/>
      <sz val="11"/>
      <name val="仿宋"/>
      <family val="3"/>
      <charset val="134"/>
    </font>
    <font>
      <sz val="11"/>
      <name val="仿宋"/>
      <family val="3"/>
      <charset val="134"/>
    </font>
    <font>
      <sz val="12"/>
      <name val="仿宋"/>
      <family val="3"/>
      <charset val="134"/>
    </font>
    <font>
      <b/>
      <sz val="9"/>
      <color indexed="81"/>
      <name val="Tahoma"/>
      <family val="2"/>
    </font>
    <font>
      <sz val="16"/>
      <name val="宋体"/>
      <family val="3"/>
      <charset val="134"/>
    </font>
    <font>
      <sz val="11"/>
      <color theme="1"/>
      <name val="宋体"/>
      <family val="2"/>
      <scheme val="minor"/>
    </font>
    <font>
      <sz val="10"/>
      <name val="宋体"/>
      <family val="3"/>
      <charset val="134"/>
    </font>
    <font>
      <sz val="20"/>
      <color theme="1"/>
      <name val="宋体"/>
      <family val="2"/>
      <scheme val="minor"/>
    </font>
    <font>
      <sz val="12"/>
      <color indexed="8"/>
      <name val="仿宋"/>
      <family val="3"/>
      <charset val="134"/>
    </font>
    <font>
      <sz val="11"/>
      <color theme="1"/>
      <name val="仿宋"/>
      <family val="3"/>
      <charset val="134"/>
    </font>
    <font>
      <sz val="12"/>
      <color theme="1"/>
      <name val="仿宋"/>
      <family val="3"/>
      <charset val="134"/>
    </font>
    <font>
      <b/>
      <sz val="12"/>
      <color indexed="8"/>
      <name val="仿宋"/>
      <family val="3"/>
      <charset val="134"/>
    </font>
    <font>
      <b/>
      <sz val="12"/>
      <color theme="1"/>
      <name val="仿宋"/>
      <family val="3"/>
      <charset val="134"/>
    </font>
    <font>
      <sz val="12"/>
      <color theme="1"/>
      <name val="黑体"/>
      <family val="3"/>
      <charset val="134"/>
    </font>
    <font>
      <b/>
      <sz val="20"/>
      <color indexed="8"/>
      <name val="宋体"/>
      <family val="3"/>
      <charset val="134"/>
      <scheme val="minor"/>
    </font>
    <font>
      <b/>
      <sz val="11"/>
      <color theme="1"/>
      <name val="宋体"/>
      <family val="2"/>
      <scheme val="minor"/>
    </font>
    <font>
      <b/>
      <sz val="12"/>
      <color indexed="8"/>
      <name val="宋体"/>
      <family val="3"/>
      <charset val="134"/>
    </font>
    <font>
      <sz val="12"/>
      <color theme="0"/>
      <name val="仿宋"/>
      <family val="3"/>
      <charset val="134"/>
    </font>
    <font>
      <b/>
      <sz val="20"/>
      <name val="宋体"/>
      <family val="3"/>
      <charset val="134"/>
      <scheme val="minor"/>
    </font>
    <font>
      <b/>
      <sz val="20"/>
      <color theme="1"/>
      <name val="宋体"/>
      <family val="3"/>
      <charset val="134"/>
      <scheme val="minor"/>
    </font>
    <font>
      <b/>
      <sz val="10"/>
      <name val="宋体"/>
      <family val="3"/>
      <charset val="134"/>
    </font>
    <font>
      <sz val="9"/>
      <name val="宋体"/>
      <family val="3"/>
      <charset val="134"/>
    </font>
    <font>
      <sz val="10"/>
      <color rgb="FFFF0000"/>
      <name val="宋体"/>
      <family val="3"/>
      <charset val="134"/>
    </font>
    <font>
      <sz val="10"/>
      <color indexed="8"/>
      <name val="宋体"/>
      <family val="3"/>
      <charset val="134"/>
    </font>
    <font>
      <b/>
      <sz val="20"/>
      <name val="宋体"/>
      <family val="3"/>
      <charset val="134"/>
    </font>
    <font>
      <sz val="10"/>
      <name val="黑体"/>
      <family val="3"/>
      <charset val="134"/>
    </font>
    <font>
      <sz val="12"/>
      <name val="宋体"/>
      <family val="3"/>
      <charset val="134"/>
    </font>
    <font>
      <sz val="14"/>
      <color rgb="FFFF0000"/>
      <name val="宋体"/>
      <family val="3"/>
      <charset val="134"/>
    </font>
  </fonts>
  <fills count="2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indexed="30"/>
        <bgColor indexed="64"/>
      </patternFill>
    </fill>
    <fill>
      <patternFill patternType="solid">
        <fgColor indexed="11"/>
        <bgColor indexed="64"/>
      </patternFill>
    </fill>
    <fill>
      <patternFill patternType="solid">
        <fgColor indexed="22"/>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62"/>
        <bgColor indexed="64"/>
      </patternFill>
    </fill>
    <fill>
      <patternFill patternType="solid">
        <fgColor indexed="49"/>
        <bgColor indexed="64"/>
      </patternFill>
    </fill>
    <fill>
      <patternFill patternType="solid">
        <fgColor indexed="26"/>
        <bgColor indexed="64"/>
      </patternFill>
    </fill>
    <fill>
      <patternFill patternType="solid">
        <fgColor indexed="43"/>
        <bgColor indexed="64"/>
      </patternFill>
    </fill>
    <fill>
      <patternFill patternType="solid">
        <fgColor indexed="10"/>
        <bgColor indexed="64"/>
      </patternFill>
    </fill>
    <fill>
      <patternFill patternType="solid">
        <fgColor indexed="57"/>
        <bgColor indexed="64"/>
      </patternFill>
    </fill>
    <fill>
      <patternFill patternType="solid">
        <fgColor indexed="52"/>
        <bgColor indexed="64"/>
      </patternFill>
    </fill>
    <fill>
      <patternFill patternType="solid">
        <fgColor indexed="53"/>
        <bgColor indexed="64"/>
      </patternFill>
    </fill>
    <fill>
      <patternFill patternType="solid">
        <fgColor theme="0"/>
        <bgColor indexed="64"/>
      </patternFill>
    </fill>
    <fill>
      <patternFill patternType="solid">
        <fgColor theme="5" tint="0.79995117038483843"/>
        <bgColor indexed="64"/>
      </patternFill>
    </fill>
    <fill>
      <patternFill patternType="solid">
        <fgColor theme="0"/>
        <bgColor rgb="FFFFFFFF"/>
      </patternFill>
    </fill>
    <fill>
      <patternFill patternType="solid">
        <fgColor indexed="9"/>
        <bgColor indexed="64"/>
      </patternFill>
    </fill>
    <fill>
      <patternFill patternType="solid">
        <fgColor rgb="FFFFFF00"/>
        <bgColor indexed="64"/>
      </patternFill>
    </fill>
  </fills>
  <borders count="28">
    <border>
      <left/>
      <right/>
      <top/>
      <bottom/>
      <diagonal/>
    </border>
    <border>
      <left/>
      <right/>
      <top/>
      <bottom style="thin">
        <color auto="1"/>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s>
  <cellStyleXfs count="270">
    <xf numFmtId="0" fontId="0" fillId="0" borderId="0"/>
    <xf numFmtId="0" fontId="12" fillId="3" borderId="0" applyNumberFormat="0" applyBorder="0" applyAlignment="0" applyProtection="0">
      <alignment vertical="center"/>
    </xf>
    <xf numFmtId="0" fontId="15" fillId="12" borderId="3" applyNumberFormat="0" applyAlignment="0" applyProtection="0">
      <alignment vertical="center"/>
    </xf>
    <xf numFmtId="0" fontId="13" fillId="0" borderId="0">
      <alignment vertical="center"/>
    </xf>
    <xf numFmtId="0" fontId="18" fillId="12" borderId="5" applyNumberFormat="0" applyAlignment="0" applyProtection="0">
      <alignment vertical="center"/>
    </xf>
    <xf numFmtId="0" fontId="16" fillId="0" borderId="0"/>
    <xf numFmtId="0" fontId="12" fillId="4" borderId="0" applyNumberFormat="0" applyBorder="0" applyAlignment="0" applyProtection="0">
      <alignment vertical="center"/>
    </xf>
    <xf numFmtId="0" fontId="15" fillId="12" borderId="3" applyNumberFormat="0" applyAlignment="0" applyProtection="0">
      <alignment vertical="center"/>
    </xf>
    <xf numFmtId="0" fontId="12" fillId="9" borderId="0" applyNumberFormat="0" applyBorder="0" applyAlignment="0" applyProtection="0">
      <alignment vertical="center"/>
    </xf>
    <xf numFmtId="0" fontId="13" fillId="0" borderId="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13" fillId="0" borderId="0">
      <alignment vertical="center"/>
    </xf>
    <xf numFmtId="0" fontId="14" fillId="5" borderId="0" applyNumberFormat="0" applyBorder="0" applyAlignment="0" applyProtection="0">
      <alignment vertical="center"/>
    </xf>
    <xf numFmtId="0" fontId="13" fillId="0" borderId="0">
      <alignment vertical="center"/>
    </xf>
    <xf numFmtId="0" fontId="12" fillId="15" borderId="0" applyNumberFormat="0" applyBorder="0" applyAlignment="0" applyProtection="0">
      <alignment vertical="center"/>
    </xf>
    <xf numFmtId="0" fontId="18" fillId="12" borderId="5" applyNumberFormat="0" applyAlignment="0" applyProtection="0">
      <alignment vertical="center"/>
    </xf>
    <xf numFmtId="0" fontId="12" fillId="7" borderId="0" applyNumberFormat="0" applyBorder="0" applyAlignment="0" applyProtection="0">
      <alignment vertical="center"/>
    </xf>
    <xf numFmtId="0" fontId="16" fillId="0" borderId="0"/>
    <xf numFmtId="0" fontId="13" fillId="0" borderId="0">
      <alignment vertical="center"/>
    </xf>
    <xf numFmtId="0" fontId="3" fillId="18" borderId="11" applyNumberFormat="0" applyFont="0" applyAlignment="0" applyProtection="0">
      <alignment vertical="center"/>
    </xf>
    <xf numFmtId="0" fontId="15" fillId="12" borderId="3" applyNumberFormat="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3" fillId="0" borderId="0">
      <alignment vertical="center"/>
    </xf>
    <xf numFmtId="0" fontId="23" fillId="0" borderId="7" applyNumberFormat="0" applyFill="0" applyAlignment="0" applyProtection="0">
      <alignment vertical="center"/>
    </xf>
    <xf numFmtId="0" fontId="15" fillId="12" borderId="3" applyNumberFormat="0" applyAlignment="0" applyProtection="0">
      <alignment vertical="center"/>
    </xf>
    <xf numFmtId="0" fontId="13" fillId="0" borderId="0">
      <alignment vertical="center"/>
    </xf>
    <xf numFmtId="0" fontId="16" fillId="0" borderId="0"/>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8" fillId="12" borderId="5" applyNumberFormat="0" applyAlignment="0" applyProtection="0">
      <alignment vertical="center"/>
    </xf>
    <xf numFmtId="0" fontId="29" fillId="19" borderId="0" applyNumberFormat="0" applyBorder="0" applyAlignment="0" applyProtection="0">
      <alignment vertical="center"/>
    </xf>
    <xf numFmtId="0" fontId="15" fillId="12" borderId="3" applyNumberFormat="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2" fillId="3" borderId="0" applyNumberFormat="0" applyBorder="0" applyAlignment="0" applyProtection="0">
      <alignment vertical="center"/>
    </xf>
    <xf numFmtId="0" fontId="15" fillId="12" borderId="3" applyNumberFormat="0" applyAlignment="0" applyProtection="0">
      <alignment vertical="center"/>
    </xf>
    <xf numFmtId="0" fontId="12" fillId="9" borderId="0" applyNumberFormat="0" applyBorder="0" applyAlignment="0" applyProtection="0">
      <alignment vertical="center"/>
    </xf>
    <xf numFmtId="0" fontId="13" fillId="0" borderId="0">
      <alignment vertical="center"/>
    </xf>
    <xf numFmtId="0" fontId="12" fillId="7" borderId="0" applyNumberFormat="0" applyBorder="0" applyAlignment="0" applyProtection="0">
      <alignment vertical="center"/>
    </xf>
    <xf numFmtId="0" fontId="4" fillId="0" borderId="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3" fillId="0" borderId="0">
      <alignment vertical="center"/>
    </xf>
    <xf numFmtId="0" fontId="12" fillId="2" borderId="0" applyNumberFormat="0" applyBorder="0" applyAlignment="0" applyProtection="0">
      <alignment vertical="center"/>
    </xf>
    <xf numFmtId="0" fontId="13"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12" borderId="5" applyNumberFormat="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8" fillId="12" borderId="5" applyNumberFormat="0" applyAlignment="0" applyProtection="0">
      <alignment vertical="center"/>
    </xf>
    <xf numFmtId="0" fontId="12" fillId="11" borderId="0" applyNumberFormat="0" applyBorder="0" applyAlignment="0" applyProtection="0">
      <alignment vertical="center"/>
    </xf>
    <xf numFmtId="0" fontId="18" fillId="12" borderId="5" applyNumberFormat="0" applyAlignment="0" applyProtection="0">
      <alignment vertical="center"/>
    </xf>
    <xf numFmtId="0" fontId="12" fillId="11" borderId="0" applyNumberFormat="0" applyBorder="0" applyAlignment="0" applyProtection="0">
      <alignment vertical="center"/>
    </xf>
    <xf numFmtId="0" fontId="20" fillId="13" borderId="6" applyNumberFormat="0" applyAlignment="0" applyProtection="0">
      <alignment vertical="center"/>
    </xf>
    <xf numFmtId="0" fontId="24" fillId="0" borderId="8" applyNumberFormat="0" applyFill="0" applyAlignment="0" applyProtection="0">
      <alignment vertical="center"/>
    </xf>
    <xf numFmtId="0" fontId="12" fillId="7" borderId="0" applyNumberFormat="0" applyBorder="0" applyAlignment="0" applyProtection="0">
      <alignment vertical="center"/>
    </xf>
    <xf numFmtId="0" fontId="30" fillId="6" borderId="5" applyNumberFormat="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4"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9"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4" fillId="21" borderId="0" applyNumberFormat="0" applyBorder="0" applyAlignment="0" applyProtection="0">
      <alignment vertical="center"/>
    </xf>
    <xf numFmtId="0" fontId="12" fillId="8" borderId="0" applyNumberFormat="0" applyBorder="0" applyAlignment="0" applyProtection="0">
      <alignment vertical="center"/>
    </xf>
    <xf numFmtId="0" fontId="19" fillId="4" borderId="0" applyNumberFormat="0" applyBorder="0" applyAlignment="0" applyProtection="0">
      <alignment vertical="center"/>
    </xf>
    <xf numFmtId="0" fontId="14" fillId="10" borderId="0" applyNumberFormat="0" applyBorder="0" applyAlignment="0" applyProtection="0">
      <alignment vertical="center"/>
    </xf>
    <xf numFmtId="0" fontId="19"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0" borderId="0">
      <alignment vertical="center"/>
    </xf>
    <xf numFmtId="0" fontId="14" fillId="5"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3" fillId="0" borderId="0">
      <alignment vertical="center"/>
    </xf>
    <xf numFmtId="0" fontId="1" fillId="0" borderId="0" applyNumberFormat="0" applyFill="0" applyBorder="0" applyAlignment="0" applyProtection="0"/>
    <xf numFmtId="0" fontId="13" fillId="0" borderId="0">
      <alignment vertical="center"/>
    </xf>
    <xf numFmtId="0" fontId="14" fillId="16" borderId="0" applyNumberFormat="0" applyBorder="0" applyAlignment="0" applyProtection="0">
      <alignment vertical="center"/>
    </xf>
    <xf numFmtId="0" fontId="13" fillId="0" borderId="0">
      <alignment vertical="center"/>
    </xf>
    <xf numFmtId="0" fontId="1" fillId="0" borderId="0" applyNumberFormat="0" applyFill="0" applyBorder="0" applyAlignment="0" applyProtection="0"/>
    <xf numFmtId="0" fontId="13" fillId="0" borderId="0">
      <alignment vertical="center"/>
    </xf>
    <xf numFmtId="0" fontId="25" fillId="0" borderId="9" applyNumberFormat="0" applyFill="0" applyAlignment="0" applyProtection="0">
      <alignment vertical="center"/>
    </xf>
    <xf numFmtId="0" fontId="13" fillId="0" borderId="0">
      <alignment vertical="center"/>
    </xf>
    <xf numFmtId="0" fontId="25" fillId="0" borderId="9" applyNumberFormat="0" applyFill="0" applyAlignment="0" applyProtection="0">
      <alignment vertical="center"/>
    </xf>
    <xf numFmtId="0" fontId="13" fillId="0" borderId="0">
      <alignment vertical="center"/>
    </xf>
    <xf numFmtId="0" fontId="25" fillId="0" borderId="9" applyNumberFormat="0" applyFill="0" applyAlignment="0" applyProtection="0">
      <alignment vertical="center"/>
    </xf>
    <xf numFmtId="0" fontId="13" fillId="0" borderId="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3" fillId="0" borderId="0">
      <alignment vertical="center"/>
    </xf>
    <xf numFmtId="0" fontId="17" fillId="0" borderId="4" applyNumberFormat="0" applyFill="0" applyAlignment="0" applyProtection="0">
      <alignment vertical="center"/>
    </xf>
    <xf numFmtId="0" fontId="13" fillId="0" borderId="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13"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8" applyNumberFormat="0" applyFill="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3" fillId="0" borderId="0">
      <alignment vertical="center"/>
    </xf>
    <xf numFmtId="0" fontId="22" fillId="9" borderId="0" applyNumberFormat="0" applyBorder="0" applyAlignment="0" applyProtection="0">
      <alignment vertical="center"/>
    </xf>
    <xf numFmtId="0" fontId="13" fillId="0" borderId="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9"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3" fillId="0" borderId="0">
      <alignment vertical="center"/>
    </xf>
    <xf numFmtId="0" fontId="13" fillId="0" borderId="0">
      <alignment vertical="center"/>
    </xf>
    <xf numFmtId="0" fontId="4" fillId="0" borderId="0"/>
    <xf numFmtId="0" fontId="4" fillId="0" borderId="0">
      <alignment vertical="center"/>
    </xf>
    <xf numFmtId="0" fontId="4" fillId="0" borderId="0"/>
    <xf numFmtId="0" fontId="12" fillId="0" borderId="0">
      <alignment vertical="center"/>
    </xf>
    <xf numFmtId="0" fontId="12" fillId="0" borderId="0">
      <alignment vertical="center"/>
    </xf>
    <xf numFmtId="0" fontId="3" fillId="0" borderId="0" applyFont="0" applyAlignment="0">
      <alignment vertical="center"/>
    </xf>
    <xf numFmtId="0" fontId="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2" fillId="0" borderId="0" applyFont="0" applyFill="0" applyBorder="0" applyAlignment="0" applyProtection="0">
      <alignment vertical="center"/>
    </xf>
    <xf numFmtId="0" fontId="13" fillId="0" borderId="0">
      <alignment vertical="center"/>
    </xf>
    <xf numFmtId="43" fontId="12" fillId="0" borderId="0" applyFont="0" applyFill="0" applyBorder="0" applyAlignment="0" applyProtection="0">
      <alignment vertical="center"/>
    </xf>
    <xf numFmtId="0" fontId="4" fillId="0" borderId="0"/>
    <xf numFmtId="0" fontId="13" fillId="0" borderId="0">
      <alignment vertical="center"/>
    </xf>
    <xf numFmtId="0" fontId="14" fillId="20" borderId="0" applyNumberFormat="0" applyBorder="0" applyAlignment="0" applyProtection="0">
      <alignment vertical="center"/>
    </xf>
    <xf numFmtId="0" fontId="13" fillId="0" borderId="0">
      <alignment vertical="center"/>
    </xf>
    <xf numFmtId="0" fontId="13" fillId="0" borderId="0">
      <alignment vertical="center"/>
    </xf>
    <xf numFmtId="0" fontId="4"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0" fillId="6" borderId="5"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xf numFmtId="0" fontId="14" fillId="14" borderId="0" applyNumberFormat="0" applyBorder="0" applyAlignment="0" applyProtection="0">
      <alignment vertical="center"/>
    </xf>
    <xf numFmtId="0" fontId="4" fillId="0" borderId="0">
      <alignment vertical="center"/>
    </xf>
    <xf numFmtId="0" fontId="14" fillId="14" borderId="0" applyNumberFormat="0" applyBorder="0" applyAlignment="0" applyProtection="0">
      <alignment vertical="center"/>
    </xf>
    <xf numFmtId="0" fontId="4" fillId="0" borderId="0">
      <alignment vertical="center"/>
    </xf>
    <xf numFmtId="0" fontId="14" fillId="14" borderId="0" applyNumberFormat="0" applyBorder="0" applyAlignment="0" applyProtection="0">
      <alignment vertical="center"/>
    </xf>
    <xf numFmtId="0" fontId="4" fillId="0" borderId="0">
      <alignment vertical="center"/>
    </xf>
    <xf numFmtId="0" fontId="13" fillId="0" borderId="0">
      <alignment vertical="center"/>
    </xf>
    <xf numFmtId="0" fontId="30" fillId="6" borderId="5" applyNumberFormat="0" applyAlignment="0" applyProtection="0">
      <alignment vertical="center"/>
    </xf>
    <xf numFmtId="0" fontId="13" fillId="0" borderId="0">
      <alignment vertical="center"/>
    </xf>
    <xf numFmtId="0" fontId="19" fillId="4" borderId="0" applyNumberFormat="0" applyBorder="0" applyAlignment="0" applyProtection="0">
      <alignment vertical="center"/>
    </xf>
    <xf numFmtId="0" fontId="12" fillId="0" borderId="0">
      <alignment vertical="center"/>
    </xf>
    <xf numFmtId="0" fontId="16" fillId="0" borderId="0"/>
    <xf numFmtId="0" fontId="4" fillId="0" borderId="0"/>
    <xf numFmtId="0" fontId="4" fillId="0" borderId="0"/>
    <xf numFmtId="0" fontId="13" fillId="0" borderId="0">
      <alignment vertical="center"/>
    </xf>
    <xf numFmtId="0" fontId="4" fillId="0" borderId="0"/>
    <xf numFmtId="0" fontId="13" fillId="0" borderId="0">
      <alignment vertical="center"/>
    </xf>
    <xf numFmtId="0" fontId="13" fillId="0" borderId="0">
      <alignment vertical="center"/>
    </xf>
    <xf numFmtId="0" fontId="16" fillId="0" borderId="0"/>
    <xf numFmtId="0" fontId="3" fillId="18" borderId="11" applyNumberFormat="0" applyFont="0" applyAlignment="0" applyProtection="0">
      <alignment vertical="center"/>
    </xf>
    <xf numFmtId="0" fontId="13" fillId="0" borderId="0">
      <alignment vertical="center"/>
    </xf>
    <xf numFmtId="0" fontId="3" fillId="18" borderId="11" applyNumberFormat="0" applyFont="0" applyAlignment="0" applyProtection="0">
      <alignment vertical="center"/>
    </xf>
    <xf numFmtId="0" fontId="16"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 fillId="0" borderId="0"/>
    <xf numFmtId="0" fontId="20" fillId="13" borderId="6" applyNumberFormat="0" applyAlignment="0" applyProtection="0">
      <alignment vertical="center"/>
    </xf>
    <xf numFmtId="0" fontId="27" fillId="0" borderId="0" applyNumberFormat="0" applyFill="0" applyBorder="0" applyAlignment="0" applyProtection="0">
      <alignment vertical="center"/>
    </xf>
    <xf numFmtId="0" fontId="4"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0" fillId="13" borderId="6"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29" fillId="19" borderId="0" applyNumberFormat="0" applyBorder="0" applyAlignment="0" applyProtection="0">
      <alignment vertical="center"/>
    </xf>
    <xf numFmtId="0" fontId="30" fillId="6" borderId="5" applyNumberFormat="0" applyAlignment="0" applyProtection="0">
      <alignment vertical="center"/>
    </xf>
    <xf numFmtId="0" fontId="30" fillId="6" borderId="5" applyNumberFormat="0" applyAlignment="0" applyProtection="0">
      <alignment vertical="center"/>
    </xf>
    <xf numFmtId="0" fontId="30" fillId="6" borderId="5" applyNumberFormat="0" applyAlignment="0" applyProtection="0">
      <alignment vertical="center"/>
    </xf>
    <xf numFmtId="0" fontId="2" fillId="0" borderId="0"/>
    <xf numFmtId="0" fontId="3" fillId="18" borderId="11" applyNumberFormat="0" applyFont="0" applyAlignment="0" applyProtection="0">
      <alignment vertical="center"/>
    </xf>
    <xf numFmtId="0" fontId="3" fillId="18" borderId="11" applyNumberFormat="0" applyFont="0" applyAlignment="0" applyProtection="0">
      <alignment vertical="center"/>
    </xf>
    <xf numFmtId="0" fontId="3" fillId="18" borderId="11" applyNumberFormat="0" applyFont="0" applyAlignment="0" applyProtection="0">
      <alignment vertical="center"/>
    </xf>
    <xf numFmtId="43" fontId="32" fillId="0" borderId="0" applyFont="0" applyFill="0" applyBorder="0" applyAlignment="0" applyProtection="0">
      <alignment vertical="center"/>
    </xf>
    <xf numFmtId="9" fontId="32" fillId="0" borderId="0" applyFont="0" applyFill="0" applyBorder="0" applyAlignment="0" applyProtection="0">
      <alignment vertical="center"/>
    </xf>
    <xf numFmtId="0" fontId="4" fillId="0" borderId="0"/>
    <xf numFmtId="0" fontId="33" fillId="0" borderId="0"/>
    <xf numFmtId="0" fontId="4" fillId="0" borderId="0"/>
    <xf numFmtId="0" fontId="61" fillId="0" borderId="0"/>
    <xf numFmtId="0" fontId="16" fillId="0" borderId="0"/>
    <xf numFmtId="43" fontId="81" fillId="0" borderId="0" applyFont="0" applyFill="0" applyBorder="0" applyAlignment="0" applyProtection="0"/>
    <xf numFmtId="41" fontId="81" fillId="0" borderId="0" applyFont="0" applyFill="0" applyBorder="0" applyAlignment="0" applyProtection="0"/>
  </cellStyleXfs>
  <cellXfs count="345">
    <xf numFmtId="0" fontId="0" fillId="0" borderId="0" xfId="0"/>
    <xf numFmtId="0" fontId="6" fillId="0" borderId="0" xfId="223" applyFont="1" applyFill="1"/>
    <xf numFmtId="0" fontId="7" fillId="0" borderId="0" xfId="161" applyFont="1" applyFill="1" applyAlignment="1">
      <alignment vertical="center"/>
    </xf>
    <xf numFmtId="0" fontId="4" fillId="0" borderId="0" xfId="161" applyFont="1" applyFill="1"/>
    <xf numFmtId="178" fontId="6" fillId="0" borderId="0" xfId="223" applyNumberFormat="1" applyFont="1" applyFill="1"/>
    <xf numFmtId="0" fontId="4" fillId="0" borderId="0" xfId="223" applyFont="1" applyFill="1" applyAlignment="1">
      <alignment vertical="center"/>
    </xf>
    <xf numFmtId="0" fontId="4" fillId="0" borderId="0" xfId="223" applyFont="1" applyFill="1"/>
    <xf numFmtId="0" fontId="4" fillId="0" borderId="0" xfId="223" applyFont="1" applyFill="1" applyAlignment="1">
      <alignment horizontal="center"/>
    </xf>
    <xf numFmtId="0" fontId="10" fillId="0" borderId="0" xfId="161" applyFont="1" applyFill="1" applyAlignment="1">
      <alignment vertical="center"/>
    </xf>
    <xf numFmtId="0" fontId="4" fillId="0" borderId="0" xfId="161" applyFont="1" applyFill="1" applyAlignment="1">
      <alignment vertical="center"/>
    </xf>
    <xf numFmtId="0" fontId="4" fillId="0" borderId="0" xfId="161" applyFont="1" applyFill="1" applyAlignment="1">
      <alignment horizontal="center" vertical="center"/>
    </xf>
    <xf numFmtId="0" fontId="4" fillId="0" borderId="0" xfId="161" applyFont="1" applyFill="1" applyAlignment="1">
      <alignment horizontal="center"/>
    </xf>
    <xf numFmtId="178" fontId="4" fillId="0" borderId="0" xfId="223" applyNumberFormat="1" applyFont="1" applyFill="1" applyAlignment="1">
      <alignment horizontal="center"/>
    </xf>
    <xf numFmtId="178" fontId="4" fillId="0" borderId="0" xfId="223" applyNumberFormat="1" applyFont="1" applyFill="1"/>
    <xf numFmtId="10" fontId="4" fillId="0" borderId="0" xfId="223" applyNumberFormat="1" applyFont="1" applyFill="1"/>
    <xf numFmtId="178" fontId="6" fillId="0" borderId="12" xfId="161" applyNumberFormat="1" applyFont="1" applyFill="1" applyBorder="1" applyAlignment="1">
      <alignment horizontal="center" vertical="center"/>
    </xf>
    <xf numFmtId="0" fontId="9" fillId="0" borderId="12" xfId="166" applyFont="1" applyFill="1" applyBorder="1" applyAlignment="1">
      <alignment horizontal="center" vertical="center" wrapText="1"/>
    </xf>
    <xf numFmtId="0" fontId="6" fillId="0" borderId="12" xfId="223" applyFont="1" applyFill="1" applyBorder="1" applyAlignment="1">
      <alignment vertical="center" wrapText="1"/>
    </xf>
    <xf numFmtId="0" fontId="11" fillId="0" borderId="12" xfId="161" applyFont="1" applyFill="1" applyBorder="1" applyAlignment="1">
      <alignment vertical="center" wrapText="1"/>
    </xf>
    <xf numFmtId="0" fontId="6" fillId="0" borderId="12" xfId="161" applyFont="1" applyFill="1" applyBorder="1" applyAlignment="1">
      <alignment horizontal="left" vertical="center" wrapText="1"/>
    </xf>
    <xf numFmtId="10" fontId="6" fillId="0" borderId="12" xfId="161" applyNumberFormat="1" applyFont="1" applyFill="1" applyBorder="1" applyAlignment="1">
      <alignment horizontal="center" vertical="center"/>
    </xf>
    <xf numFmtId="0" fontId="6" fillId="0" borderId="12" xfId="161" applyFont="1" applyFill="1" applyBorder="1" applyAlignment="1">
      <alignment vertical="center" wrapText="1"/>
    </xf>
    <xf numFmtId="0" fontId="4" fillId="0" borderId="12" xfId="161" applyFont="1" applyFill="1" applyBorder="1" applyAlignment="1">
      <alignment horizontal="left" vertical="center" wrapText="1"/>
    </xf>
    <xf numFmtId="0" fontId="6" fillId="0" borderId="12" xfId="223" applyFont="1" applyFill="1" applyBorder="1" applyAlignment="1">
      <alignment horizontal="left" vertical="center" wrapText="1"/>
    </xf>
    <xf numFmtId="176" fontId="6" fillId="0" borderId="12" xfId="161" applyNumberFormat="1" applyFont="1" applyFill="1" applyBorder="1" applyAlignment="1">
      <alignment horizontal="center" vertical="center"/>
    </xf>
    <xf numFmtId="0" fontId="9" fillId="0" borderId="12" xfId="161" applyFont="1" applyFill="1" applyBorder="1" applyAlignment="1">
      <alignment horizontal="center" vertical="center" wrapText="1"/>
    </xf>
    <xf numFmtId="178" fontId="9" fillId="0" borderId="12" xfId="161" applyNumberFormat="1" applyFont="1" applyFill="1" applyBorder="1" applyAlignment="1">
      <alignment horizontal="center" vertical="center"/>
    </xf>
    <xf numFmtId="0" fontId="4" fillId="0" borderId="0" xfId="223" applyFont="1" applyFill="1" applyAlignment="1">
      <alignment horizontal="center" vertical="center"/>
    </xf>
    <xf numFmtId="178" fontId="9" fillId="0" borderId="12" xfId="161" applyNumberFormat="1" applyFont="1" applyFill="1" applyBorder="1" applyAlignment="1">
      <alignment horizontal="center" vertical="center" shrinkToFit="1"/>
    </xf>
    <xf numFmtId="176" fontId="9" fillId="0" borderId="12" xfId="161" applyNumberFormat="1" applyFont="1" applyFill="1" applyBorder="1" applyAlignment="1">
      <alignment horizontal="center" vertical="center"/>
    </xf>
    <xf numFmtId="0" fontId="4" fillId="0" borderId="15" xfId="223" applyFont="1" applyFill="1" applyBorder="1"/>
    <xf numFmtId="4" fontId="31" fillId="0" borderId="0" xfId="0" applyNumberFormat="1" applyFont="1" applyFill="1" applyAlignment="1">
      <alignment vertical="center"/>
    </xf>
    <xf numFmtId="177" fontId="4" fillId="0" borderId="0" xfId="223" applyNumberFormat="1" applyFont="1" applyFill="1"/>
    <xf numFmtId="0" fontId="6" fillId="0" borderId="0" xfId="223" applyFont="1" applyFill="1" applyAlignment="1">
      <alignment wrapText="1"/>
    </xf>
    <xf numFmtId="0" fontId="7" fillId="0" borderId="0" xfId="42" applyFont="1" applyAlignment="1">
      <alignment vertical="center"/>
    </xf>
    <xf numFmtId="0" fontId="33" fillId="0" borderId="0" xfId="205" applyFont="1"/>
    <xf numFmtId="0" fontId="34" fillId="0" borderId="0" xfId="205" applyFont="1" applyAlignment="1">
      <alignment horizontal="center" vertical="top"/>
    </xf>
    <xf numFmtId="0" fontId="1" fillId="0" borderId="12" xfId="205" applyFont="1" applyBorder="1" applyAlignment="1">
      <alignment horizontal="center" vertical="center"/>
    </xf>
    <xf numFmtId="0" fontId="38" fillId="0" borderId="12" xfId="205" applyFont="1" applyBorder="1" applyAlignment="1">
      <alignment horizontal="center" vertical="center"/>
    </xf>
    <xf numFmtId="176" fontId="38" fillId="0" borderId="12" xfId="205" applyNumberFormat="1" applyFont="1" applyBorder="1" applyAlignment="1">
      <alignment horizontal="center" vertical="center"/>
    </xf>
    <xf numFmtId="10" fontId="38" fillId="0" borderId="12" xfId="205" applyNumberFormat="1" applyFont="1" applyBorder="1" applyAlignment="1">
      <alignment horizontal="center" vertical="center"/>
    </xf>
    <xf numFmtId="0" fontId="33" fillId="0" borderId="12" xfId="205" applyFont="1" applyBorder="1" applyAlignment="1">
      <alignment horizontal="left" vertical="center"/>
    </xf>
    <xf numFmtId="176" fontId="33" fillId="0" borderId="12" xfId="205" applyNumberFormat="1" applyFont="1" applyBorder="1" applyAlignment="1">
      <alignment horizontal="center" vertical="center"/>
    </xf>
    <xf numFmtId="0" fontId="33" fillId="0" borderId="12" xfId="205" applyFont="1" applyBorder="1" applyAlignment="1">
      <alignment horizontal="center" vertical="center"/>
    </xf>
    <xf numFmtId="10" fontId="33" fillId="0" borderId="12" xfId="205" applyNumberFormat="1" applyFont="1" applyBorder="1" applyAlignment="1">
      <alignment horizontal="center" vertical="center"/>
    </xf>
    <xf numFmtId="0" fontId="36" fillId="0" borderId="12" xfId="0" applyFont="1" applyBorder="1" applyAlignment="1">
      <alignment vertical="center"/>
    </xf>
    <xf numFmtId="0" fontId="41" fillId="0" borderId="16" xfId="0" applyFont="1" applyBorder="1" applyAlignment="1">
      <alignment horizontal="left" vertical="center"/>
    </xf>
    <xf numFmtId="179" fontId="36" fillId="0" borderId="17" xfId="0" applyNumberFormat="1" applyFont="1" applyBorder="1" applyAlignment="1">
      <alignment vertical="center"/>
    </xf>
    <xf numFmtId="0" fontId="33" fillId="0" borderId="17" xfId="205" applyFont="1" applyFill="1" applyBorder="1" applyAlignment="1">
      <alignment vertical="center"/>
    </xf>
    <xf numFmtId="176" fontId="33" fillId="0" borderId="17" xfId="205" applyNumberFormat="1" applyFont="1" applyBorder="1" applyAlignment="1">
      <alignment horizontal="center" vertical="center"/>
    </xf>
    <xf numFmtId="0" fontId="33" fillId="0" borderId="17" xfId="205" applyFont="1" applyBorder="1" applyAlignment="1">
      <alignment horizontal="center" vertical="center"/>
    </xf>
    <xf numFmtId="10" fontId="33" fillId="0" borderId="17" xfId="205" applyNumberFormat="1" applyFont="1" applyBorder="1" applyAlignment="1">
      <alignment horizontal="center" vertical="center"/>
    </xf>
    <xf numFmtId="0" fontId="41" fillId="0" borderId="0" xfId="205" applyFont="1"/>
    <xf numFmtId="0" fontId="41" fillId="0" borderId="16" xfId="0" applyFont="1" applyFill="1" applyBorder="1" applyAlignment="1">
      <alignment vertical="center"/>
    </xf>
    <xf numFmtId="49" fontId="33" fillId="0" borderId="17" xfId="205" applyNumberFormat="1" applyFont="1" applyFill="1" applyBorder="1" applyAlignment="1">
      <alignment vertical="center" wrapText="1"/>
    </xf>
    <xf numFmtId="49" fontId="33" fillId="0" borderId="2" xfId="0" applyNumberFormat="1" applyFont="1" applyFill="1" applyBorder="1" applyAlignment="1">
      <alignment vertical="center" wrapText="1"/>
    </xf>
    <xf numFmtId="179" fontId="36" fillId="0" borderId="17" xfId="0" applyNumberFormat="1" applyFont="1" applyFill="1" applyBorder="1" applyAlignment="1">
      <alignment vertical="center"/>
    </xf>
    <xf numFmtId="0" fontId="33" fillId="0" borderId="2" xfId="0" applyFont="1" applyFill="1" applyBorder="1" applyAlignment="1">
      <alignment horizontal="left" vertical="center" wrapText="1"/>
    </xf>
    <xf numFmtId="0" fontId="33" fillId="0" borderId="17" xfId="147" applyFont="1" applyFill="1" applyBorder="1" applyAlignment="1">
      <alignment horizontal="left" vertical="center" wrapText="1"/>
    </xf>
    <xf numFmtId="49" fontId="33" fillId="0" borderId="17" xfId="147" applyNumberFormat="1" applyFont="1" applyFill="1" applyBorder="1" applyAlignment="1">
      <alignment vertical="center" wrapText="1"/>
    </xf>
    <xf numFmtId="49" fontId="33" fillId="0" borderId="17" xfId="0" applyNumberFormat="1" applyFont="1" applyFill="1" applyBorder="1" applyAlignment="1">
      <alignment vertical="center" wrapText="1"/>
    </xf>
    <xf numFmtId="49" fontId="41" fillId="0" borderId="2" xfId="0" applyNumberFormat="1" applyFont="1" applyFill="1" applyBorder="1" applyAlignment="1">
      <alignment vertical="center" wrapText="1"/>
    </xf>
    <xf numFmtId="0" fontId="33" fillId="0" borderId="17" xfId="205" applyFont="1" applyBorder="1" applyAlignment="1">
      <alignment vertical="center"/>
    </xf>
    <xf numFmtId="49" fontId="33" fillId="0" borderId="17" xfId="205" applyNumberFormat="1" applyFont="1" applyBorder="1" applyAlignment="1">
      <alignment vertical="center" wrapText="1"/>
    </xf>
    <xf numFmtId="0" fontId="33" fillId="0" borderId="17" xfId="205" applyFont="1" applyFill="1" applyBorder="1" applyAlignment="1">
      <alignment horizontal="center" vertical="center"/>
    </xf>
    <xf numFmtId="0" fontId="38" fillId="0" borderId="17" xfId="205" applyFont="1" applyFill="1" applyBorder="1" applyAlignment="1">
      <alignment horizontal="center" vertical="center"/>
    </xf>
    <xf numFmtId="0" fontId="38" fillId="0" borderId="17" xfId="205" applyFont="1" applyBorder="1" applyAlignment="1">
      <alignment horizontal="center" vertical="center"/>
    </xf>
    <xf numFmtId="10" fontId="38" fillId="0" borderId="17" xfId="205" applyNumberFormat="1" applyFont="1" applyBorder="1" applyAlignment="1">
      <alignment horizontal="center" vertical="center"/>
    </xf>
    <xf numFmtId="0" fontId="41" fillId="0" borderId="0" xfId="205" applyFont="1" applyFill="1"/>
    <xf numFmtId="0" fontId="7" fillId="0" borderId="0" xfId="42" applyFont="1" applyAlignment="1">
      <alignment horizontal="left" vertical="center"/>
    </xf>
    <xf numFmtId="0" fontId="4" fillId="0" borderId="0" xfId="42" applyFont="1"/>
    <xf numFmtId="0" fontId="4" fillId="0" borderId="0" xfId="42"/>
    <xf numFmtId="0" fontId="4" fillId="0" borderId="0" xfId="42" applyFill="1"/>
    <xf numFmtId="0" fontId="4" fillId="0" borderId="0" xfId="42" applyNumberFormat="1"/>
    <xf numFmtId="0" fontId="45" fillId="0" borderId="17" xfId="42" applyFont="1" applyFill="1" applyBorder="1" applyAlignment="1">
      <alignment horizontal="center" vertical="center"/>
    </xf>
    <xf numFmtId="0" fontId="45" fillId="0" borderId="17" xfId="42" applyFont="1" applyFill="1" applyBorder="1" applyAlignment="1">
      <alignment horizontal="center" vertical="center" wrapText="1"/>
    </xf>
    <xf numFmtId="0" fontId="45" fillId="0" borderId="17" xfId="42" applyNumberFormat="1" applyFont="1" applyFill="1" applyBorder="1" applyAlignment="1">
      <alignment horizontal="center" vertical="center" wrapText="1"/>
    </xf>
    <xf numFmtId="0" fontId="45" fillId="0" borderId="17" xfId="42" applyFont="1" applyBorder="1" applyAlignment="1">
      <alignment horizontal="center" vertical="center"/>
    </xf>
    <xf numFmtId="0" fontId="45" fillId="0" borderId="17" xfId="42" applyFont="1" applyBorder="1" applyAlignment="1">
      <alignment horizontal="center" vertical="center" wrapText="1"/>
    </xf>
    <xf numFmtId="10" fontId="45" fillId="0" borderId="17" xfId="42" applyNumberFormat="1" applyFont="1" applyBorder="1" applyAlignment="1">
      <alignment horizontal="center" vertical="center" wrapText="1"/>
    </xf>
    <xf numFmtId="0" fontId="1" fillId="0" borderId="0" xfId="42" applyFont="1"/>
    <xf numFmtId="0" fontId="45" fillId="0" borderId="17" xfId="42" applyFont="1" applyBorder="1" applyAlignment="1">
      <alignment horizontal="left" vertical="center"/>
    </xf>
    <xf numFmtId="0" fontId="46" fillId="0" borderId="17" xfId="42" applyFont="1" applyBorder="1" applyAlignment="1">
      <alignment horizontal="left" vertical="center"/>
    </xf>
    <xf numFmtId="178" fontId="46" fillId="0" borderId="17" xfId="161" applyNumberFormat="1" applyFont="1" applyFill="1" applyBorder="1" applyAlignment="1">
      <alignment horizontal="center" vertical="center"/>
    </xf>
    <xf numFmtId="10" fontId="46" fillId="0" borderId="17" xfId="42" applyNumberFormat="1" applyFont="1" applyBorder="1" applyAlignment="1">
      <alignment horizontal="center" vertical="center" wrapText="1"/>
    </xf>
    <xf numFmtId="0" fontId="47" fillId="0" borderId="0" xfId="42" applyFont="1"/>
    <xf numFmtId="0" fontId="46" fillId="0" borderId="17" xfId="42" applyFont="1" applyBorder="1" applyAlignment="1">
      <alignment horizontal="center" vertical="center" shrinkToFit="1"/>
    </xf>
    <xf numFmtId="0" fontId="46" fillId="0" borderId="17" xfId="42" applyFont="1" applyBorder="1" applyAlignment="1">
      <alignment horizontal="left" vertical="center" wrapText="1"/>
    </xf>
    <xf numFmtId="0" fontId="48" fillId="0" borderId="0" xfId="42" applyFont="1"/>
    <xf numFmtId="0" fontId="48" fillId="0" borderId="0" xfId="42" applyFont="1" applyFill="1"/>
    <xf numFmtId="0" fontId="48" fillId="0" borderId="0" xfId="42" applyNumberFormat="1" applyFont="1"/>
    <xf numFmtId="0" fontId="4" fillId="0" borderId="0" xfId="205" applyFill="1"/>
    <xf numFmtId="0" fontId="4" fillId="0" borderId="0" xfId="205"/>
    <xf numFmtId="0" fontId="34" fillId="0" borderId="0" xfId="205" applyFont="1" applyAlignment="1">
      <alignment horizontal="center" vertical="center"/>
    </xf>
    <xf numFmtId="0" fontId="41" fillId="0" borderId="17" xfId="205" applyFont="1" applyFill="1" applyBorder="1" applyAlignment="1">
      <alignment horizontal="center" vertical="center" wrapText="1"/>
    </xf>
    <xf numFmtId="3" fontId="33" fillId="0" borderId="17" xfId="205" applyNumberFormat="1" applyFont="1" applyFill="1" applyBorder="1" applyAlignment="1">
      <alignment horizontal="left" vertical="center" wrapText="1"/>
    </xf>
    <xf numFmtId="176" fontId="33" fillId="0" borderId="17" xfId="0" applyNumberFormat="1" applyFont="1" applyFill="1" applyBorder="1" applyAlignment="1">
      <alignment horizontal="center" vertical="center" wrapText="1"/>
    </xf>
    <xf numFmtId="176" fontId="33" fillId="0" borderId="17" xfId="263" applyNumberFormat="1" applyFont="1" applyFill="1" applyBorder="1" applyAlignment="1" applyProtection="1">
      <alignment horizontal="center" vertical="center" shrinkToFit="1"/>
    </xf>
    <xf numFmtId="176" fontId="33" fillId="0" borderId="17" xfId="205" applyNumberFormat="1" applyFont="1" applyFill="1" applyBorder="1" applyAlignment="1">
      <alignment horizontal="center" vertical="center" wrapText="1"/>
    </xf>
    <xf numFmtId="10" fontId="33" fillId="0" borderId="17" xfId="205" applyNumberFormat="1" applyFont="1" applyFill="1" applyBorder="1" applyAlignment="1">
      <alignment horizontal="center" vertical="center" wrapText="1"/>
    </xf>
    <xf numFmtId="176" fontId="41" fillId="0" borderId="17" xfId="205" applyNumberFormat="1" applyFont="1" applyBorder="1" applyAlignment="1">
      <alignment horizontal="center" vertical="center" wrapText="1"/>
    </xf>
    <xf numFmtId="10" fontId="41" fillId="0" borderId="17" xfId="205" applyNumberFormat="1" applyFont="1" applyBorder="1" applyAlignment="1">
      <alignment horizontal="center" vertical="center" wrapText="1"/>
    </xf>
    <xf numFmtId="3" fontId="33" fillId="0" borderId="17" xfId="205" applyNumberFormat="1" applyFont="1" applyFill="1" applyBorder="1" applyAlignment="1">
      <alignment horizontal="center" vertical="center" wrapText="1"/>
    </xf>
    <xf numFmtId="0" fontId="4" fillId="0" borderId="17" xfId="205" applyBorder="1"/>
    <xf numFmtId="0" fontId="41" fillId="0" borderId="17" xfId="205" applyFont="1" applyBorder="1" applyAlignment="1">
      <alignment horizontal="center" vertical="center" wrapText="1"/>
    </xf>
    <xf numFmtId="176" fontId="41" fillId="0" borderId="17" xfId="205" applyNumberFormat="1" applyFont="1" applyFill="1" applyBorder="1" applyAlignment="1">
      <alignment horizontal="center" vertical="center" wrapText="1"/>
    </xf>
    <xf numFmtId="10" fontId="41" fillId="0" borderId="17" xfId="205" applyNumberFormat="1" applyFont="1" applyFill="1" applyBorder="1" applyAlignment="1">
      <alignment horizontal="center" vertical="center" wrapText="1"/>
    </xf>
    <xf numFmtId="3" fontId="4" fillId="0" borderId="0" xfId="205" applyNumberFormat="1"/>
    <xf numFmtId="0" fontId="4" fillId="0" borderId="0" xfId="205" applyAlignment="1">
      <alignment wrapText="1"/>
    </xf>
    <xf numFmtId="0" fontId="4" fillId="0" borderId="0" xfId="205" applyFont="1" applyAlignment="1">
      <alignment horizontal="right" vertical="center" wrapText="1"/>
    </xf>
    <xf numFmtId="0" fontId="4" fillId="0" borderId="0" xfId="205" applyAlignment="1">
      <alignment horizontal="right" wrapText="1"/>
    </xf>
    <xf numFmtId="0" fontId="4" fillId="0" borderId="0" xfId="205" applyAlignment="1">
      <alignment vertical="center" wrapText="1"/>
    </xf>
    <xf numFmtId="10" fontId="4" fillId="0" borderId="0" xfId="205" applyNumberFormat="1" applyAlignment="1">
      <alignment horizontal="right" vertical="center" wrapText="1"/>
    </xf>
    <xf numFmtId="179" fontId="4" fillId="0" borderId="0" xfId="205" applyNumberFormat="1" applyAlignment="1">
      <alignment horizontal="right" vertical="center" wrapText="1"/>
    </xf>
    <xf numFmtId="179" fontId="4" fillId="0" borderId="0" xfId="205" applyNumberFormat="1" applyFont="1" applyAlignment="1">
      <alignment horizontal="right" vertical="center" wrapText="1"/>
    </xf>
    <xf numFmtId="0" fontId="4" fillId="0" borderId="0" xfId="205" applyAlignment="1">
      <alignment horizontal="righ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55" fillId="0" borderId="0" xfId="0" applyFont="1" applyAlignment="1">
      <alignment horizontal="center" vertical="center"/>
    </xf>
    <xf numFmtId="43" fontId="54" fillId="24" borderId="12" xfId="261" applyFont="1" applyFill="1" applyBorder="1" applyAlignment="1">
      <alignment horizontal="right" vertical="center" shrinkToFit="1"/>
    </xf>
    <xf numFmtId="10" fontId="54" fillId="24" borderId="12" xfId="262" applyNumberFormat="1" applyFont="1" applyFill="1" applyBorder="1" applyAlignment="1">
      <alignment horizontal="right" vertical="center" shrinkToFit="1"/>
    </xf>
    <xf numFmtId="0" fontId="56" fillId="0" borderId="0" xfId="0" applyFont="1" applyAlignment="1">
      <alignment vertical="center"/>
    </xf>
    <xf numFmtId="0" fontId="57" fillId="24" borderId="12" xfId="0" applyFont="1" applyFill="1" applyBorder="1" applyAlignment="1">
      <alignment horizontal="center" vertical="center" shrinkToFit="1"/>
    </xf>
    <xf numFmtId="0" fontId="57" fillId="26" borderId="12" xfId="0" applyFont="1" applyFill="1" applyBorder="1" applyAlignment="1">
      <alignment horizontal="left" vertical="center" wrapText="1" shrinkToFit="1"/>
    </xf>
    <xf numFmtId="0" fontId="57" fillId="24" borderId="12" xfId="0" applyFont="1" applyFill="1" applyBorder="1" applyAlignment="1">
      <alignment horizontal="left" vertical="center" wrapText="1"/>
    </xf>
    <xf numFmtId="0" fontId="57" fillId="26" borderId="12" xfId="0" applyFont="1" applyFill="1" applyBorder="1" applyAlignment="1">
      <alignment horizontal="center" vertical="center" wrapText="1"/>
    </xf>
    <xf numFmtId="43" fontId="57" fillId="24" borderId="12" xfId="261" applyFont="1" applyFill="1" applyBorder="1" applyAlignment="1">
      <alignment horizontal="right" vertical="center" shrinkToFit="1"/>
    </xf>
    <xf numFmtId="43" fontId="57" fillId="24" borderId="12" xfId="0" applyNumberFormat="1" applyFont="1" applyFill="1" applyBorder="1" applyAlignment="1">
      <alignment vertical="center" shrinkToFit="1"/>
    </xf>
    <xf numFmtId="10" fontId="57" fillId="24" borderId="12" xfId="262" applyNumberFormat="1" applyFont="1" applyFill="1" applyBorder="1" applyAlignment="1">
      <alignment horizontal="right" vertical="center" shrinkToFit="1"/>
    </xf>
    <xf numFmtId="0" fontId="0" fillId="0" borderId="0" xfId="0" applyAlignment="1">
      <alignment vertical="center" shrinkToFit="1"/>
    </xf>
    <xf numFmtId="0" fontId="0" fillId="0" borderId="0" xfId="0" applyAlignment="1">
      <alignment horizontal="left" vertical="center" wrapText="1" shrinkToFit="1"/>
    </xf>
    <xf numFmtId="0" fontId="0" fillId="0" borderId="0" xfId="0" applyFill="1" applyAlignment="1">
      <alignment vertical="center"/>
    </xf>
    <xf numFmtId="0" fontId="52" fillId="0" borderId="0" xfId="40" applyFont="1" applyFill="1" applyAlignment="1">
      <alignment vertical="center"/>
    </xf>
    <xf numFmtId="0" fontId="4" fillId="0" borderId="0" xfId="265" applyFill="1" applyAlignment="1">
      <alignment vertical="center"/>
    </xf>
    <xf numFmtId="0" fontId="4" fillId="0" borderId="0" xfId="265" applyAlignment="1">
      <alignment vertical="center"/>
    </xf>
    <xf numFmtId="0" fontId="4" fillId="0" borderId="0" xfId="265"/>
    <xf numFmtId="0" fontId="59" fillId="0" borderId="0" xfId="0" applyFont="1" applyFill="1" applyBorder="1" applyAlignment="1">
      <alignment horizontal="center" vertical="center"/>
    </xf>
    <xf numFmtId="185" fontId="4" fillId="0" borderId="0" xfId="0" applyNumberFormat="1" applyFont="1" applyFill="1" applyBorder="1" applyAlignment="1">
      <alignment vertical="center"/>
    </xf>
    <xf numFmtId="0" fontId="4" fillId="0" borderId="0" xfId="265" applyAlignment="1">
      <alignment horizontal="center" vertical="center" wrapText="1"/>
    </xf>
    <xf numFmtId="0" fontId="38" fillId="0" borderId="12" xfId="0" applyFont="1" applyFill="1" applyBorder="1" applyAlignment="1">
      <alignment horizontal="center" vertical="center"/>
    </xf>
    <xf numFmtId="185" fontId="38" fillId="0" borderId="12" xfId="0" applyNumberFormat="1" applyFont="1" applyFill="1" applyBorder="1" applyAlignment="1">
      <alignment horizontal="center" vertical="center"/>
    </xf>
    <xf numFmtId="0" fontId="36" fillId="0" borderId="12" xfId="0" applyFont="1" applyFill="1" applyBorder="1" applyAlignment="1">
      <alignment horizontal="center" vertical="center"/>
    </xf>
    <xf numFmtId="0" fontId="36" fillId="0" borderId="12" xfId="0" applyFont="1" applyFill="1" applyBorder="1" applyAlignment="1">
      <alignment horizontal="left" vertical="center"/>
    </xf>
    <xf numFmtId="43" fontId="36" fillId="24" borderId="12" xfId="261" applyFont="1" applyFill="1" applyBorder="1" applyAlignment="1">
      <alignment horizontal="right" vertical="center"/>
    </xf>
    <xf numFmtId="43" fontId="36" fillId="0" borderId="12" xfId="261" applyFont="1" applyFill="1" applyBorder="1" applyAlignment="1">
      <alignment horizontal="right" vertical="center"/>
    </xf>
    <xf numFmtId="0" fontId="36" fillId="0" borderId="22" xfId="0" applyFont="1" applyFill="1" applyBorder="1" applyAlignment="1">
      <alignment horizontal="left" vertical="center"/>
    </xf>
    <xf numFmtId="184" fontId="36" fillId="0" borderId="12" xfId="261" applyNumberFormat="1" applyFont="1" applyFill="1" applyBorder="1" applyAlignment="1">
      <alignment horizontal="right" vertical="center"/>
    </xf>
    <xf numFmtId="0" fontId="4" fillId="0" borderId="12" xfId="0" applyFont="1" applyFill="1" applyBorder="1" applyAlignment="1">
      <alignment horizontal="center" vertical="center"/>
    </xf>
    <xf numFmtId="0" fontId="33" fillId="0" borderId="12" xfId="0" applyFont="1" applyFill="1" applyBorder="1" applyAlignment="1">
      <alignment horizontal="left" vertical="center"/>
    </xf>
    <xf numFmtId="43" fontId="4" fillId="0" borderId="12" xfId="261" applyFont="1" applyFill="1" applyBorder="1" applyAlignment="1">
      <alignment vertical="center"/>
    </xf>
    <xf numFmtId="0" fontId="4" fillId="24" borderId="12" xfId="0" applyFont="1" applyFill="1" applyBorder="1" applyAlignment="1">
      <alignment horizontal="center" vertical="center"/>
    </xf>
    <xf numFmtId="0" fontId="33" fillId="24" borderId="12" xfId="0" applyFont="1" applyFill="1" applyBorder="1" applyAlignment="1">
      <alignment horizontal="left" vertical="center"/>
    </xf>
    <xf numFmtId="43" fontId="4" fillId="24" borderId="12" xfId="261" applyFont="1" applyFill="1" applyBorder="1" applyAlignment="1">
      <alignment vertical="center"/>
    </xf>
    <xf numFmtId="0" fontId="4" fillId="17" borderId="0" xfId="265" applyFill="1"/>
    <xf numFmtId="0" fontId="36" fillId="0" borderId="12" xfId="0" applyFont="1" applyFill="1" applyBorder="1" applyAlignment="1">
      <alignment vertical="center"/>
    </xf>
    <xf numFmtId="4" fontId="4" fillId="0" borderId="0" xfId="265" applyNumberFormat="1"/>
    <xf numFmtId="43" fontId="36" fillId="0" borderId="12" xfId="261" applyFont="1" applyFill="1" applyBorder="1" applyAlignment="1">
      <alignment vertical="center"/>
    </xf>
    <xf numFmtId="0" fontId="61" fillId="0" borderId="0" xfId="98" applyFont="1" applyFill="1" applyAlignment="1"/>
    <xf numFmtId="0" fontId="60" fillId="0" borderId="0" xfId="98" applyFont="1" applyFill="1" applyAlignment="1"/>
    <xf numFmtId="0" fontId="61" fillId="0" borderId="0" xfId="98" applyFont="1" applyFill="1" applyAlignment="1">
      <alignment horizontal="left"/>
    </xf>
    <xf numFmtId="0" fontId="60" fillId="0" borderId="0" xfId="98" applyFont="1" applyFill="1" applyAlignment="1">
      <alignment horizontal="left"/>
    </xf>
    <xf numFmtId="185" fontId="61" fillId="0" borderId="0" xfId="98" applyNumberFormat="1" applyFont="1" applyFill="1" applyAlignment="1">
      <alignment horizontal="left"/>
    </xf>
    <xf numFmtId="0" fontId="61" fillId="0" borderId="0" xfId="98" applyFont="1" applyFill="1" applyAlignment="1">
      <alignment horizontal="left" wrapText="1"/>
    </xf>
    <xf numFmtId="185" fontId="61" fillId="0" borderId="0" xfId="98" applyNumberFormat="1" applyFont="1" applyFill="1" applyAlignment="1"/>
    <xf numFmtId="0" fontId="60" fillId="0" borderId="0" xfId="98" applyFont="1" applyFill="1" applyAlignment="1">
      <alignment vertical="center"/>
    </xf>
    <xf numFmtId="180" fontId="63" fillId="0" borderId="12" xfId="98" applyNumberFormat="1" applyFont="1" applyFill="1" applyBorder="1" applyAlignment="1">
      <alignment horizontal="right" vertical="center" wrapText="1"/>
    </xf>
    <xf numFmtId="49" fontId="63" fillId="0" borderId="20" xfId="98" applyNumberFormat="1" applyFont="1" applyFill="1" applyBorder="1" applyAlignment="1">
      <alignment horizontal="left" vertical="center"/>
    </xf>
    <xf numFmtId="49" fontId="66" fillId="0" borderId="12" xfId="98" applyNumberFormat="1" applyFont="1" applyFill="1" applyBorder="1" applyAlignment="1">
      <alignment horizontal="center" vertical="center" wrapText="1"/>
    </xf>
    <xf numFmtId="49" fontId="66" fillId="0" borderId="0" xfId="98" applyNumberFormat="1" applyFont="1" applyFill="1" applyBorder="1" applyAlignment="1">
      <alignment horizontal="center" vertical="center" wrapText="1"/>
    </xf>
    <xf numFmtId="180" fontId="66" fillId="0" borderId="12" xfId="98" applyNumberFormat="1" applyFont="1" applyFill="1" applyBorder="1" applyAlignment="1">
      <alignment horizontal="right" vertical="center" wrapText="1"/>
    </xf>
    <xf numFmtId="49" fontId="66" fillId="0" borderId="12" xfId="98" applyNumberFormat="1" applyFont="1" applyFill="1" applyBorder="1" applyAlignment="1">
      <alignment vertical="center"/>
    </xf>
    <xf numFmtId="0" fontId="54" fillId="0" borderId="12" xfId="98" applyFont="1" applyFill="1" applyBorder="1" applyAlignment="1">
      <alignment horizontal="center" vertical="center"/>
    </xf>
    <xf numFmtId="49" fontId="63" fillId="0" borderId="0" xfId="98" applyNumberFormat="1" applyFont="1" applyFill="1" applyBorder="1" applyAlignment="1">
      <alignment horizontal="left" vertical="center"/>
    </xf>
    <xf numFmtId="49" fontId="63" fillId="0" borderId="0" xfId="98" applyNumberFormat="1" applyFont="1" applyFill="1" applyBorder="1" applyAlignment="1">
      <alignment vertical="center"/>
    </xf>
    <xf numFmtId="0" fontId="63" fillId="0" borderId="0" xfId="98" applyFont="1" applyFill="1" applyBorder="1" applyAlignment="1">
      <alignment horizontal="center" vertical="center"/>
    </xf>
    <xf numFmtId="49" fontId="63" fillId="0" borderId="0" xfId="98" applyNumberFormat="1" applyFont="1" applyFill="1" applyBorder="1" applyAlignment="1">
      <alignment horizontal="right" vertical="center"/>
    </xf>
    <xf numFmtId="0" fontId="7" fillId="0" borderId="0" xfId="98" applyFont="1" applyFill="1" applyAlignment="1">
      <alignment vertical="center"/>
    </xf>
    <xf numFmtId="186" fontId="66" fillId="0" borderId="12" xfId="98" applyNumberFormat="1" applyFont="1" applyFill="1" applyBorder="1" applyAlignment="1">
      <alignment horizontal="center" vertical="center"/>
    </xf>
    <xf numFmtId="49" fontId="63" fillId="0" borderId="12" xfId="98" applyNumberFormat="1" applyFont="1" applyFill="1" applyBorder="1" applyAlignment="1">
      <alignment horizontal="left" vertical="center"/>
    </xf>
    <xf numFmtId="186" fontId="63" fillId="0" borderId="12" xfId="98" applyNumberFormat="1" applyFont="1" applyFill="1" applyBorder="1" applyAlignment="1">
      <alignment horizontal="center" vertical="center"/>
    </xf>
    <xf numFmtId="0" fontId="68" fillId="0" borderId="0" xfId="98" applyFont="1" applyFill="1" applyAlignment="1">
      <alignment vertical="center"/>
    </xf>
    <xf numFmtId="0" fontId="62" fillId="0" borderId="0" xfId="98" applyFont="1" applyFill="1" applyAlignment="1">
      <alignment vertical="center"/>
    </xf>
    <xf numFmtId="0" fontId="64" fillId="0" borderId="0" xfId="98" applyFont="1" applyFill="1" applyAlignment="1">
      <alignment vertical="center"/>
    </xf>
    <xf numFmtId="0" fontId="67" fillId="0" borderId="0" xfId="98" applyFont="1" applyFill="1" applyBorder="1" applyAlignment="1">
      <alignment vertical="center"/>
    </xf>
    <xf numFmtId="0" fontId="67" fillId="0" borderId="0" xfId="98" applyFont="1" applyFill="1" applyAlignment="1">
      <alignment vertical="center"/>
    </xf>
    <xf numFmtId="0" fontId="65" fillId="0" borderId="0" xfId="98" applyFont="1" applyFill="1" applyAlignment="1">
      <alignment vertical="center"/>
    </xf>
    <xf numFmtId="0" fontId="61" fillId="0" borderId="0" xfId="98" applyFont="1" applyFill="1" applyAlignment="1">
      <alignment vertical="center"/>
    </xf>
    <xf numFmtId="49" fontId="63" fillId="0" borderId="18" xfId="98" applyNumberFormat="1" applyFont="1" applyFill="1" applyBorder="1" applyAlignment="1">
      <alignment horizontal="left" vertical="center"/>
    </xf>
    <xf numFmtId="185" fontId="63" fillId="0" borderId="0" xfId="98" applyNumberFormat="1" applyFont="1" applyFill="1" applyBorder="1" applyAlignment="1">
      <alignment horizontal="left" vertical="center"/>
    </xf>
    <xf numFmtId="0" fontId="63" fillId="0" borderId="0" xfId="98" applyFont="1" applyFill="1" applyBorder="1" applyAlignment="1">
      <alignment horizontal="left" vertical="center"/>
    </xf>
    <xf numFmtId="184" fontId="57" fillId="0" borderId="12" xfId="98" applyNumberFormat="1" applyFont="1" applyFill="1" applyBorder="1" applyAlignment="1">
      <alignment vertical="center"/>
    </xf>
    <xf numFmtId="184" fontId="57" fillId="0" borderId="12" xfId="0" applyNumberFormat="1" applyFont="1" applyFill="1" applyBorder="1" applyAlignment="1" applyProtection="1">
      <alignment vertical="center"/>
    </xf>
    <xf numFmtId="49" fontId="63" fillId="0" borderId="23" xfId="98" applyNumberFormat="1" applyFont="1" applyFill="1" applyBorder="1" applyAlignment="1">
      <alignment horizontal="left" vertical="center"/>
    </xf>
    <xf numFmtId="0" fontId="57" fillId="0" borderId="0" xfId="98" applyFont="1" applyFill="1" applyAlignment="1">
      <alignment horizontal="left"/>
    </xf>
    <xf numFmtId="185" fontId="57" fillId="0" borderId="0" xfId="98" applyNumberFormat="1" applyFont="1" applyFill="1" applyAlignment="1">
      <alignment horizontal="left"/>
    </xf>
    <xf numFmtId="49" fontId="66" fillId="0" borderId="20" xfId="98" applyNumberFormat="1" applyFont="1" applyFill="1" applyBorder="1" applyAlignment="1">
      <alignment horizontal="center" vertical="center"/>
    </xf>
    <xf numFmtId="185" fontId="66" fillId="0" borderId="12" xfId="98" applyNumberFormat="1" applyFont="1" applyFill="1" applyBorder="1" applyAlignment="1">
      <alignment horizontal="center" vertical="center" wrapText="1"/>
    </xf>
    <xf numFmtId="0" fontId="70" fillId="0" borderId="0" xfId="98" applyFont="1" applyFill="1" applyAlignment="1">
      <alignment horizontal="left"/>
    </xf>
    <xf numFmtId="49" fontId="66" fillId="0" borderId="20" xfId="98" applyNumberFormat="1" applyFont="1" applyFill="1" applyBorder="1" applyAlignment="1">
      <alignment horizontal="left" vertical="center"/>
    </xf>
    <xf numFmtId="184" fontId="54" fillId="0" borderId="12" xfId="98" applyNumberFormat="1" applyFont="1" applyFill="1" applyBorder="1" applyAlignment="1">
      <alignment vertical="center"/>
    </xf>
    <xf numFmtId="49" fontId="66" fillId="0" borderId="12" xfId="98" applyNumberFormat="1" applyFont="1" applyFill="1" applyBorder="1" applyAlignment="1">
      <alignment horizontal="left" vertical="center"/>
    </xf>
    <xf numFmtId="0" fontId="63" fillId="0" borderId="25" xfId="98" applyFont="1" applyFill="1" applyBorder="1" applyAlignment="1">
      <alignment vertical="center"/>
    </xf>
    <xf numFmtId="185" fontId="63" fillId="0" borderId="25" xfId="98" applyNumberFormat="1" applyFont="1" applyFill="1" applyBorder="1" applyAlignment="1">
      <alignment vertical="center"/>
    </xf>
    <xf numFmtId="185" fontId="57" fillId="0" borderId="25" xfId="98" applyNumberFormat="1" applyFont="1" applyFill="1" applyBorder="1" applyAlignment="1">
      <alignment horizontal="center" vertical="center"/>
    </xf>
    <xf numFmtId="0" fontId="63" fillId="0" borderId="25" xfId="98" applyFont="1" applyFill="1" applyBorder="1" applyAlignment="1">
      <alignment horizontal="right" vertical="center"/>
    </xf>
    <xf numFmtId="0" fontId="63" fillId="0" borderId="12" xfId="98" applyFont="1" applyFill="1" applyBorder="1" applyAlignment="1">
      <alignment vertical="center"/>
    </xf>
    <xf numFmtId="184" fontId="63" fillId="0" borderId="12" xfId="98" applyNumberFormat="1" applyFont="1" applyFill="1" applyBorder="1" applyAlignment="1">
      <alignment horizontal="right" vertical="center"/>
    </xf>
    <xf numFmtId="0" fontId="57" fillId="0" borderId="0" xfId="98" applyFont="1" applyFill="1" applyAlignment="1">
      <alignment vertical="center"/>
    </xf>
    <xf numFmtId="185" fontId="57" fillId="0" borderId="0" xfId="98" applyNumberFormat="1" applyFont="1" applyFill="1" applyAlignment="1">
      <alignment vertical="center"/>
    </xf>
    <xf numFmtId="0" fontId="66" fillId="0" borderId="26" xfId="98" applyFont="1" applyFill="1" applyBorder="1" applyAlignment="1">
      <alignment horizontal="center" vertical="center"/>
    </xf>
    <xf numFmtId="185" fontId="66" fillId="0" borderId="26" xfId="98" applyNumberFormat="1" applyFont="1" applyFill="1" applyBorder="1" applyAlignment="1">
      <alignment horizontal="center" vertical="center" wrapText="1"/>
    </xf>
    <xf numFmtId="185" fontId="66" fillId="0" borderId="26" xfId="98" applyNumberFormat="1" applyFont="1" applyFill="1" applyBorder="1" applyAlignment="1">
      <alignment horizontal="center" vertical="center"/>
    </xf>
    <xf numFmtId="0" fontId="66" fillId="0" borderId="26" xfId="98" applyFont="1" applyFill="1" applyBorder="1" applyAlignment="1">
      <alignment horizontal="center" vertical="center" wrapText="1"/>
    </xf>
    <xf numFmtId="0" fontId="70" fillId="0" borderId="0" xfId="98" applyFont="1" applyFill="1" applyAlignment="1"/>
    <xf numFmtId="185" fontId="54" fillId="0" borderId="12" xfId="98" applyNumberFormat="1" applyFont="1" applyFill="1" applyBorder="1" applyAlignment="1">
      <alignment horizontal="left" vertical="center"/>
    </xf>
    <xf numFmtId="185" fontId="1" fillId="0" borderId="0" xfId="98" applyNumberFormat="1" applyFont="1" applyFill="1" applyBorder="1" applyAlignment="1">
      <alignment vertical="center"/>
    </xf>
    <xf numFmtId="0" fontId="70" fillId="0" borderId="0" xfId="98" applyFont="1" applyFill="1" applyBorder="1" applyAlignment="1">
      <alignment vertical="center"/>
    </xf>
    <xf numFmtId="0" fontId="66" fillId="0" borderId="21" xfId="98" applyFont="1" applyFill="1" applyBorder="1" applyAlignment="1">
      <alignment vertical="center"/>
    </xf>
    <xf numFmtId="184" fontId="54" fillId="0" borderId="21" xfId="98" applyNumberFormat="1" applyFont="1" applyFill="1" applyBorder="1" applyAlignment="1">
      <alignment vertical="center"/>
    </xf>
    <xf numFmtId="184" fontId="66" fillId="0" borderId="21" xfId="98" applyNumberFormat="1" applyFont="1" applyFill="1" applyBorder="1" applyAlignment="1">
      <alignment horizontal="right" vertical="center"/>
    </xf>
    <xf numFmtId="0" fontId="70" fillId="0" borderId="0" xfId="98" applyFont="1" applyFill="1" applyAlignment="1">
      <alignment vertical="center"/>
    </xf>
    <xf numFmtId="0" fontId="66" fillId="0" borderId="12" xfId="98" applyFont="1" applyFill="1" applyBorder="1" applyAlignment="1">
      <alignment vertical="center"/>
    </xf>
    <xf numFmtId="184" fontId="66" fillId="0" borderId="12" xfId="98" applyNumberFormat="1" applyFont="1" applyFill="1" applyBorder="1" applyAlignment="1">
      <alignment horizontal="right" vertical="center"/>
    </xf>
    <xf numFmtId="0" fontId="66" fillId="0" borderId="26" xfId="98" applyFont="1" applyFill="1" applyBorder="1" applyAlignment="1">
      <alignment vertical="center"/>
    </xf>
    <xf numFmtId="184" fontId="54" fillId="0" borderId="26" xfId="98" applyNumberFormat="1" applyFont="1" applyFill="1" applyBorder="1" applyAlignment="1">
      <alignment vertical="center"/>
    </xf>
    <xf numFmtId="184" fontId="66" fillId="0" borderId="26" xfId="98" applyNumberFormat="1" applyFont="1" applyFill="1" applyBorder="1" applyAlignment="1">
      <alignment horizontal="right" vertical="center"/>
    </xf>
    <xf numFmtId="180" fontId="71" fillId="0" borderId="0" xfId="98" applyNumberFormat="1" applyFont="1" applyFill="1" applyBorder="1" applyAlignment="1">
      <alignment horizontal="right" vertical="center"/>
    </xf>
    <xf numFmtId="186" fontId="66" fillId="0" borderId="21" xfId="98" applyNumberFormat="1" applyFont="1" applyFill="1" applyBorder="1" applyAlignment="1">
      <alignment horizontal="center" vertical="center"/>
    </xf>
    <xf numFmtId="186" fontId="66" fillId="0" borderId="26" xfId="98" applyNumberFormat="1" applyFont="1" applyFill="1" applyBorder="1" applyAlignment="1">
      <alignment horizontal="center" vertical="center"/>
    </xf>
    <xf numFmtId="0" fontId="57" fillId="0" borderId="0" xfId="0" applyFont="1" applyFill="1" applyAlignment="1">
      <alignment horizontal="right" vertical="center" wrapText="1"/>
    </xf>
    <xf numFmtId="0" fontId="65" fillId="0" borderId="0" xfId="0" applyFont="1" applyAlignment="1">
      <alignment vertical="center"/>
    </xf>
    <xf numFmtId="0" fontId="65" fillId="0" borderId="0" xfId="0" applyFont="1" applyAlignment="1">
      <alignment horizontal="center" vertical="center"/>
    </xf>
    <xf numFmtId="0" fontId="65" fillId="0" borderId="0" xfId="0" applyFont="1" applyAlignment="1">
      <alignment horizontal="center" vertical="center" shrinkToFit="1"/>
    </xf>
    <xf numFmtId="0" fontId="65" fillId="25" borderId="0" xfId="0" applyFont="1" applyFill="1" applyAlignment="1">
      <alignment vertical="center"/>
    </xf>
    <xf numFmtId="0" fontId="67" fillId="0" borderId="0" xfId="0" applyFont="1" applyFill="1" applyAlignment="1">
      <alignment horizontal="left" vertical="center"/>
    </xf>
    <xf numFmtId="0" fontId="67" fillId="0" borderId="0" xfId="0" applyFont="1" applyFill="1" applyAlignment="1">
      <alignment horizontal="left" vertical="center" wrapText="1" shrinkToFit="1"/>
    </xf>
    <xf numFmtId="0" fontId="54" fillId="0" borderId="0" xfId="0" applyFont="1" applyFill="1" applyAlignment="1">
      <alignment vertical="center"/>
    </xf>
    <xf numFmtId="0" fontId="54" fillId="0" borderId="0" xfId="0" applyFont="1" applyFill="1" applyAlignment="1">
      <alignment horizontal="center" vertical="center"/>
    </xf>
    <xf numFmtId="43" fontId="54" fillId="0" borderId="0" xfId="0" applyNumberFormat="1" applyFont="1" applyFill="1" applyAlignment="1">
      <alignment vertical="center" shrinkToFit="1"/>
    </xf>
    <xf numFmtId="43" fontId="65" fillId="0" borderId="1" xfId="0" applyNumberFormat="1" applyFont="1" applyFill="1" applyBorder="1" applyAlignment="1">
      <alignment vertical="center"/>
    </xf>
    <xf numFmtId="0" fontId="72" fillId="0" borderId="1" xfId="0" applyFont="1" applyFill="1" applyBorder="1" applyAlignment="1">
      <alignment vertical="center"/>
    </xf>
    <xf numFmtId="0" fontId="72" fillId="0" borderId="0" xfId="0" applyFont="1" applyFill="1" applyBorder="1" applyAlignment="1">
      <alignment vertical="center"/>
    </xf>
    <xf numFmtId="0" fontId="54" fillId="0" borderId="12" xfId="0" applyFont="1" applyFill="1" applyBorder="1" applyAlignment="1">
      <alignment horizontal="center" vertical="center" wrapText="1"/>
    </xf>
    <xf numFmtId="0" fontId="54" fillId="0" borderId="12" xfId="0" applyFont="1" applyBorder="1" applyAlignment="1">
      <alignment horizontal="center" vertical="center" wrapText="1"/>
    </xf>
    <xf numFmtId="0" fontId="65" fillId="0" borderId="12" xfId="0" applyFont="1" applyBorder="1" applyAlignment="1">
      <alignment horizontal="center" vertical="center"/>
    </xf>
    <xf numFmtId="0" fontId="74" fillId="0" borderId="0" xfId="0" applyFont="1" applyAlignment="1">
      <alignment vertical="center"/>
    </xf>
    <xf numFmtId="0" fontId="65" fillId="0" borderId="0" xfId="0" applyFont="1" applyFill="1" applyAlignment="1">
      <alignment vertical="center"/>
    </xf>
    <xf numFmtId="0" fontId="61" fillId="0" borderId="0" xfId="266" applyFont="1" applyFill="1"/>
    <xf numFmtId="0" fontId="61" fillId="0" borderId="0" xfId="266" applyFont="1" applyFill="1" applyAlignment="1">
      <alignment horizontal="center"/>
    </xf>
    <xf numFmtId="183" fontId="61" fillId="0" borderId="0" xfId="266" applyNumberFormat="1" applyFont="1" applyFill="1"/>
    <xf numFmtId="180" fontId="75" fillId="0" borderId="12" xfId="266" applyNumberFormat="1" applyFont="1" applyFill="1" applyBorder="1" applyAlignment="1" applyProtection="1">
      <alignment vertical="center" wrapText="1"/>
    </xf>
    <xf numFmtId="180" fontId="61" fillId="0" borderId="12" xfId="266" applyNumberFormat="1" applyFont="1" applyFill="1" applyBorder="1" applyAlignment="1" applyProtection="1">
      <alignment vertical="center" wrapText="1"/>
    </xf>
    <xf numFmtId="180" fontId="61" fillId="0" borderId="23" xfId="266" applyNumberFormat="1" applyFont="1" applyFill="1" applyBorder="1" applyAlignment="1" applyProtection="1">
      <alignment horizontal="right" vertical="center" wrapText="1"/>
    </xf>
    <xf numFmtId="180" fontId="61" fillId="0" borderId="27" xfId="266" applyNumberFormat="1" applyFont="1" applyFill="1" applyBorder="1" applyAlignment="1" applyProtection="1">
      <alignment horizontal="right" vertical="center" wrapText="1"/>
    </xf>
    <xf numFmtId="0" fontId="61" fillId="0" borderId="12" xfId="266" applyNumberFormat="1" applyFont="1" applyFill="1" applyBorder="1" applyAlignment="1" applyProtection="1">
      <alignment horizontal="left" vertical="center" wrapText="1"/>
    </xf>
    <xf numFmtId="0" fontId="61" fillId="0" borderId="12" xfId="266" applyNumberFormat="1" applyFont="1" applyFill="1" applyBorder="1" applyAlignment="1" applyProtection="1">
      <alignment horizontal="center" vertical="center" wrapText="1"/>
    </xf>
    <xf numFmtId="0" fontId="61" fillId="0" borderId="0" xfId="266" applyFont="1" applyFill="1" applyAlignment="1">
      <alignment wrapText="1"/>
    </xf>
    <xf numFmtId="180" fontId="61" fillId="0" borderId="0" xfId="266" applyNumberFormat="1" applyFont="1" applyFill="1"/>
    <xf numFmtId="0" fontId="61" fillId="0" borderId="20" xfId="266" applyNumberFormat="1" applyFont="1" applyFill="1" applyBorder="1" applyAlignment="1" applyProtection="1">
      <alignment horizontal="left" vertical="center" wrapText="1"/>
    </xf>
    <xf numFmtId="182" fontId="61" fillId="0" borderId="20" xfId="266" applyNumberFormat="1" applyFont="1" applyFill="1" applyBorder="1" applyAlignment="1" applyProtection="1">
      <alignment horizontal="right" vertical="center" wrapText="1"/>
    </xf>
    <xf numFmtId="181" fontId="61" fillId="0" borderId="20" xfId="266" applyNumberFormat="1" applyFont="1" applyFill="1" applyBorder="1" applyAlignment="1" applyProtection="1">
      <alignment horizontal="left" vertical="center" wrapText="1"/>
    </xf>
    <xf numFmtId="0" fontId="61" fillId="0" borderId="19" xfId="266" applyNumberFormat="1" applyFont="1" applyFill="1" applyBorder="1" applyAlignment="1" applyProtection="1">
      <alignment horizontal="left" vertical="center" wrapText="1"/>
    </xf>
    <xf numFmtId="180" fontId="61" fillId="0" borderId="12" xfId="267" applyNumberFormat="1" applyFont="1" applyFill="1" applyBorder="1" applyAlignment="1" applyProtection="1">
      <alignment vertical="center" wrapText="1"/>
    </xf>
    <xf numFmtId="180" fontId="77" fillId="27" borderId="20" xfId="267" applyNumberFormat="1" applyFont="1" applyFill="1" applyBorder="1" applyAlignment="1" applyProtection="1">
      <alignment horizontal="right" vertical="center"/>
    </xf>
    <xf numFmtId="180" fontId="78" fillId="27" borderId="20" xfId="267" applyNumberFormat="1" applyFont="1" applyFill="1" applyBorder="1" applyAlignment="1" applyProtection="1">
      <alignment horizontal="right" vertical="center"/>
    </xf>
    <xf numFmtId="180" fontId="61" fillId="0" borderId="0" xfId="266" applyNumberFormat="1" applyFont="1" applyFill="1" applyAlignment="1">
      <alignment wrapText="1"/>
    </xf>
    <xf numFmtId="180" fontId="61" fillId="0" borderId="12" xfId="267" applyNumberFormat="1" applyFont="1" applyFill="1" applyBorder="1" applyAlignment="1" applyProtection="1">
      <alignment horizontal="right" vertical="center"/>
    </xf>
    <xf numFmtId="180" fontId="61" fillId="0" borderId="12" xfId="266" applyNumberFormat="1" applyFont="1" applyFill="1" applyBorder="1" applyAlignment="1" applyProtection="1">
      <alignment horizontal="right" vertical="center" wrapText="1"/>
    </xf>
    <xf numFmtId="0" fontId="75" fillId="0" borderId="20" xfId="266" applyNumberFormat="1" applyFont="1" applyFill="1" applyBorder="1" applyAlignment="1" applyProtection="1">
      <alignment horizontal="center" vertical="center" wrapText="1"/>
    </xf>
    <xf numFmtId="0" fontId="75" fillId="0" borderId="19" xfId="266" applyNumberFormat="1" applyFont="1" applyFill="1" applyBorder="1" applyAlignment="1" applyProtection="1">
      <alignment horizontal="center" vertical="center" wrapText="1"/>
    </xf>
    <xf numFmtId="0" fontId="75" fillId="0" borderId="12" xfId="266" applyNumberFormat="1" applyFont="1" applyFill="1" applyBorder="1" applyAlignment="1" applyProtection="1">
      <alignment horizontal="center" vertical="center" wrapText="1"/>
    </xf>
    <xf numFmtId="0" fontId="80" fillId="0" borderId="0" xfId="266" applyFont="1" applyFill="1"/>
    <xf numFmtId="0" fontId="7" fillId="0" borderId="0" xfId="98" applyFont="1" applyFill="1" applyAlignment="1">
      <alignment horizontal="left" vertical="center"/>
    </xf>
    <xf numFmtId="0" fontId="9" fillId="0" borderId="12" xfId="161" applyFont="1" applyFill="1" applyBorder="1" applyAlignment="1">
      <alignment horizontal="center" vertical="center"/>
    </xf>
    <xf numFmtId="176" fontId="33" fillId="0" borderId="17" xfId="205" applyNumberFormat="1" applyFont="1" applyFill="1" applyBorder="1" applyAlignment="1">
      <alignment horizontal="center" vertical="center"/>
    </xf>
    <xf numFmtId="176" fontId="38" fillId="0" borderId="17" xfId="205" applyNumberFormat="1" applyFont="1" applyBorder="1" applyAlignment="1">
      <alignment horizontal="center" vertical="center"/>
    </xf>
    <xf numFmtId="176" fontId="33" fillId="0" borderId="0" xfId="205" applyNumberFormat="1" applyFont="1"/>
    <xf numFmtId="3" fontId="33" fillId="0" borderId="12" xfId="205" applyNumberFormat="1" applyFont="1" applyFill="1" applyBorder="1" applyAlignment="1">
      <alignment horizontal="left" vertical="center" wrapText="1"/>
    </xf>
    <xf numFmtId="176" fontId="33" fillId="0" borderId="12" xfId="205" applyNumberFormat="1" applyFont="1" applyFill="1" applyBorder="1" applyAlignment="1">
      <alignment horizontal="center" vertical="center" wrapText="1"/>
    </xf>
    <xf numFmtId="10" fontId="33" fillId="0" borderId="12" xfId="205" applyNumberFormat="1" applyFont="1" applyFill="1" applyBorder="1" applyAlignment="1">
      <alignment horizontal="center" vertical="center" wrapText="1"/>
    </xf>
    <xf numFmtId="176" fontId="41" fillId="0" borderId="12" xfId="205" applyNumberFormat="1" applyFont="1" applyBorder="1" applyAlignment="1">
      <alignment horizontal="center" vertical="center" wrapText="1"/>
    </xf>
    <xf numFmtId="10" fontId="41" fillId="0" borderId="12" xfId="205" applyNumberFormat="1" applyFont="1" applyBorder="1" applyAlignment="1">
      <alignment horizontal="center" vertical="center" wrapText="1"/>
    </xf>
    <xf numFmtId="0" fontId="4" fillId="0" borderId="12" xfId="205" applyBorder="1"/>
    <xf numFmtId="176" fontId="33" fillId="0" borderId="12" xfId="0" applyNumberFormat="1" applyFont="1" applyFill="1" applyBorder="1" applyAlignment="1">
      <alignment horizontal="center" vertical="center" wrapText="1"/>
    </xf>
    <xf numFmtId="176" fontId="33" fillId="0" borderId="12" xfId="263" applyNumberFormat="1" applyFont="1" applyFill="1" applyBorder="1" applyAlignment="1" applyProtection="1">
      <alignment horizontal="center" vertical="center" shrinkToFit="1"/>
    </xf>
    <xf numFmtId="0" fontId="36" fillId="0" borderId="0" xfId="205" applyFont="1" applyAlignment="1">
      <alignment horizontal="right" vertical="center"/>
    </xf>
    <xf numFmtId="0" fontId="7" fillId="0" borderId="0" xfId="205" applyFont="1" applyAlignment="1">
      <alignment vertical="center"/>
    </xf>
    <xf numFmtId="0" fontId="4" fillId="0" borderId="0" xfId="205" applyFill="1" applyAlignment="1">
      <alignment vertical="center"/>
    </xf>
    <xf numFmtId="0" fontId="4" fillId="0" borderId="0" xfId="205" applyAlignment="1">
      <alignment vertical="center"/>
    </xf>
    <xf numFmtId="0" fontId="50" fillId="0" borderId="0" xfId="205" applyFont="1" applyBorder="1" applyAlignment="1">
      <alignment horizontal="right" vertical="center"/>
    </xf>
    <xf numFmtId="0" fontId="9" fillId="0" borderId="24" xfId="161" applyFont="1" applyFill="1" applyBorder="1" applyAlignment="1">
      <alignment vertical="center"/>
    </xf>
    <xf numFmtId="0" fontId="9" fillId="0" borderId="14" xfId="161" applyFont="1" applyFill="1" applyBorder="1" applyAlignment="1">
      <alignment vertical="center"/>
    </xf>
    <xf numFmtId="0" fontId="9" fillId="0" borderId="12" xfId="161" applyFont="1" applyFill="1" applyBorder="1" applyAlignment="1">
      <alignment horizontal="center" vertical="center"/>
    </xf>
    <xf numFmtId="0" fontId="4" fillId="28" borderId="0" xfId="223" applyFont="1" applyFill="1"/>
    <xf numFmtId="178" fontId="4" fillId="28" borderId="0" xfId="223" applyNumberFormat="1" applyFont="1" applyFill="1"/>
    <xf numFmtId="10" fontId="4" fillId="28" borderId="0" xfId="223" applyNumberFormat="1" applyFont="1" applyFill="1"/>
    <xf numFmtId="178" fontId="82" fillId="0" borderId="12" xfId="161" applyNumberFormat="1" applyFont="1" applyFill="1" applyBorder="1" applyAlignment="1">
      <alignment horizontal="center" vertical="center"/>
    </xf>
    <xf numFmtId="0" fontId="9" fillId="0" borderId="12" xfId="161" applyFont="1" applyFill="1" applyBorder="1" applyAlignment="1">
      <alignment horizontal="center" vertical="center"/>
    </xf>
    <xf numFmtId="0" fontId="8" fillId="0" borderId="0" xfId="161" applyFont="1" applyFill="1" applyAlignment="1">
      <alignment horizontal="center" vertical="center"/>
    </xf>
    <xf numFmtId="0" fontId="4" fillId="0" borderId="1" xfId="161" applyFont="1" applyFill="1" applyBorder="1" applyAlignment="1">
      <alignment horizontal="right" vertical="center"/>
    </xf>
    <xf numFmtId="0" fontId="4" fillId="0" borderId="0" xfId="161" applyFont="1" applyFill="1" applyBorder="1" applyAlignment="1">
      <alignment horizontal="right" vertical="center"/>
    </xf>
    <xf numFmtId="0" fontId="9" fillId="0" borderId="13" xfId="161" applyFont="1" applyFill="1" applyBorder="1" applyAlignment="1">
      <alignment horizontal="center" vertical="center"/>
    </xf>
    <xf numFmtId="0" fontId="9" fillId="0" borderId="2" xfId="161" applyFont="1" applyFill="1" applyBorder="1" applyAlignment="1">
      <alignment horizontal="center" vertical="center"/>
    </xf>
    <xf numFmtId="0" fontId="9" fillId="0" borderId="14" xfId="161" applyFont="1" applyFill="1" applyBorder="1" applyAlignment="1">
      <alignment horizontal="center" vertical="center"/>
    </xf>
    <xf numFmtId="0" fontId="34" fillId="0" borderId="0" xfId="42" applyFont="1" applyAlignment="1">
      <alignment horizontal="center" vertical="center"/>
    </xf>
    <xf numFmtId="0" fontId="4" fillId="0" borderId="1" xfId="42" applyBorder="1" applyAlignment="1">
      <alignment horizontal="right" vertical="center"/>
    </xf>
    <xf numFmtId="0" fontId="39" fillId="0" borderId="12" xfId="0" applyFont="1" applyBorder="1" applyAlignment="1">
      <alignment horizontal="center" vertical="center"/>
    </xf>
    <xf numFmtId="0" fontId="36" fillId="0" borderId="12" xfId="0" applyFont="1" applyBorder="1" applyAlignment="1">
      <alignment horizontal="center" vertical="center"/>
    </xf>
    <xf numFmtId="0" fontId="34" fillId="0" borderId="0" xfId="205" applyFont="1" applyAlignment="1">
      <alignment horizontal="center" vertical="center"/>
    </xf>
    <xf numFmtId="0" fontId="1" fillId="0" borderId="12" xfId="205" applyFont="1" applyBorder="1" applyAlignment="1">
      <alignment horizontal="center" vertical="center"/>
    </xf>
    <xf numFmtId="0" fontId="1" fillId="0" borderId="12" xfId="205" applyFont="1" applyBorder="1" applyAlignment="1">
      <alignment horizontal="center" vertical="center" wrapText="1"/>
    </xf>
    <xf numFmtId="0" fontId="38" fillId="0" borderId="17" xfId="205" applyFont="1" applyBorder="1" applyAlignment="1">
      <alignment horizontal="center" vertical="center" wrapText="1"/>
    </xf>
    <xf numFmtId="0" fontId="41" fillId="0" borderId="17" xfId="205" applyFont="1" applyBorder="1" applyAlignment="1">
      <alignment horizontal="center" vertical="center" wrapText="1"/>
    </xf>
    <xf numFmtId="0" fontId="49" fillId="0" borderId="0" xfId="205" applyFont="1" applyAlignment="1">
      <alignment horizontal="center" vertical="center"/>
    </xf>
    <xf numFmtId="0" fontId="51" fillId="0" borderId="25" xfId="205" applyFont="1" applyBorder="1" applyAlignment="1">
      <alignment horizontal="right" vertical="center"/>
    </xf>
    <xf numFmtId="0" fontId="50" fillId="0" borderId="25" xfId="205" applyFont="1" applyBorder="1" applyAlignment="1">
      <alignment horizontal="right" vertical="center"/>
    </xf>
    <xf numFmtId="0" fontId="41" fillId="0" borderId="17" xfId="205" applyFont="1" applyBorder="1" applyAlignment="1">
      <alignment horizontal="center" vertical="center"/>
    </xf>
    <xf numFmtId="0" fontId="41" fillId="0" borderId="17" xfId="205" applyFont="1" applyFill="1" applyBorder="1" applyAlignment="1">
      <alignment horizontal="center" vertical="center" wrapText="1"/>
    </xf>
    <xf numFmtId="0" fontId="57" fillId="0" borderId="13" xfId="98" applyFont="1" applyFill="1" applyBorder="1" applyAlignment="1">
      <alignment horizontal="left" vertical="center" wrapText="1"/>
    </xf>
    <xf numFmtId="0" fontId="57" fillId="0" borderId="24" xfId="98" applyFont="1" applyFill="1" applyBorder="1" applyAlignment="1">
      <alignment horizontal="left" vertical="center" wrapText="1"/>
    </xf>
    <xf numFmtId="0" fontId="57" fillId="0" borderId="14" xfId="98" applyFont="1" applyFill="1" applyBorder="1" applyAlignment="1">
      <alignment horizontal="left" vertical="center" wrapText="1"/>
    </xf>
    <xf numFmtId="0" fontId="69" fillId="0" borderId="0" xfId="98" applyFont="1" applyFill="1" applyAlignment="1">
      <alignment horizontal="center" vertical="center"/>
    </xf>
    <xf numFmtId="0" fontId="63" fillId="0" borderId="13" xfId="98" applyFont="1" applyFill="1" applyBorder="1" applyAlignment="1">
      <alignment horizontal="left" vertical="center" wrapText="1"/>
    </xf>
    <xf numFmtId="0" fontId="63" fillId="0" borderId="24" xfId="98" applyFont="1" applyFill="1" applyBorder="1" applyAlignment="1">
      <alignment horizontal="left" vertical="center" wrapText="1"/>
    </xf>
    <xf numFmtId="0" fontId="63" fillId="0" borderId="14" xfId="98" applyFont="1" applyFill="1" applyBorder="1" applyAlignment="1">
      <alignment horizontal="left" vertical="center" wrapText="1"/>
    </xf>
    <xf numFmtId="185" fontId="69" fillId="0" borderId="0" xfId="98" applyNumberFormat="1" applyFont="1" applyFill="1" applyAlignment="1">
      <alignment horizontal="center" vertical="center"/>
    </xf>
    <xf numFmtId="0" fontId="61" fillId="0" borderId="12" xfId="266" applyFont="1" applyFill="1" applyBorder="1" applyAlignment="1">
      <alignment horizontal="center" vertical="center"/>
    </xf>
    <xf numFmtId="0" fontId="75" fillId="0" borderId="12" xfId="266" applyFont="1" applyFill="1" applyBorder="1" applyAlignment="1">
      <alignment horizontal="center" vertical="center"/>
    </xf>
    <xf numFmtId="0" fontId="7" fillId="0" borderId="0" xfId="266" applyFont="1" applyFill="1" applyAlignment="1">
      <alignment horizontal="left" vertical="center"/>
    </xf>
    <xf numFmtId="0" fontId="79" fillId="0" borderId="0" xfId="266" applyNumberFormat="1" applyFont="1" applyFill="1" applyBorder="1" applyAlignment="1" applyProtection="1">
      <alignment horizontal="center" vertical="center"/>
    </xf>
    <xf numFmtId="0" fontId="4" fillId="0" borderId="0" xfId="266" applyNumberFormat="1" applyFont="1" applyFill="1" applyBorder="1" applyAlignment="1" applyProtection="1">
      <alignment horizontal="right" vertical="center"/>
    </xf>
    <xf numFmtId="0" fontId="4" fillId="0" borderId="18" xfId="266" applyNumberFormat="1" applyFont="1" applyFill="1" applyBorder="1" applyAlignment="1" applyProtection="1">
      <alignment horizontal="right" vertical="center"/>
    </xf>
    <xf numFmtId="0" fontId="75" fillId="0" borderId="12" xfId="266" applyNumberFormat="1" applyFont="1" applyFill="1" applyBorder="1" applyAlignment="1" applyProtection="1">
      <alignment horizontal="center" vertical="center" wrapText="1"/>
    </xf>
    <xf numFmtId="0" fontId="54" fillId="26" borderId="13" xfId="0" applyFont="1" applyFill="1" applyBorder="1" applyAlignment="1">
      <alignment horizontal="center" vertical="center" wrapText="1"/>
    </xf>
    <xf numFmtId="0" fontId="54" fillId="26" borderId="24" xfId="0" applyFont="1" applyFill="1" applyBorder="1" applyAlignment="1">
      <alignment horizontal="center" vertical="center" wrapText="1"/>
    </xf>
    <xf numFmtId="0" fontId="54" fillId="26" borderId="14" xfId="0" applyFont="1" applyFill="1" applyBorder="1" applyAlignment="1">
      <alignment horizontal="center" vertical="center" wrapText="1"/>
    </xf>
    <xf numFmtId="0" fontId="73" fillId="0" borderId="0" xfId="0" applyFont="1" applyFill="1" applyAlignment="1">
      <alignment horizontal="center" vertical="center"/>
    </xf>
    <xf numFmtId="0" fontId="54" fillId="0" borderId="12" xfId="0" applyFont="1" applyBorder="1" applyAlignment="1">
      <alignment horizontal="center" vertical="center" shrinkToFit="1"/>
    </xf>
    <xf numFmtId="0" fontId="54" fillId="0" borderId="12" xfId="0" applyFont="1" applyBorder="1" applyAlignment="1">
      <alignment horizontal="center" vertical="center" wrapText="1" shrinkToFit="1"/>
    </xf>
    <xf numFmtId="0" fontId="54" fillId="0" borderId="12" xfId="0" applyFont="1" applyBorder="1" applyAlignment="1">
      <alignment horizontal="center" vertical="center" wrapText="1"/>
    </xf>
    <xf numFmtId="0" fontId="68" fillId="0" borderId="0" xfId="0" applyFont="1" applyAlignment="1">
      <alignment horizontal="left" vertical="center" shrinkToFit="1"/>
    </xf>
    <xf numFmtId="0" fontId="54" fillId="0" borderId="12" xfId="0" applyFont="1" applyFill="1" applyBorder="1" applyAlignment="1">
      <alignment horizontal="center" vertical="center" wrapText="1"/>
    </xf>
    <xf numFmtId="0" fontId="34" fillId="0" borderId="0" xfId="0" applyFont="1" applyFill="1" applyBorder="1" applyAlignment="1">
      <alignment horizontal="center" vertical="center"/>
    </xf>
    <xf numFmtId="0" fontId="6" fillId="0" borderId="1" xfId="0" applyFont="1" applyFill="1" applyBorder="1" applyAlignment="1">
      <alignment horizontal="right" vertical="center"/>
    </xf>
  </cellXfs>
  <cellStyles count="270">
    <cellStyle name="20% - 强调文字颜色 1 2" xfId="1"/>
    <cellStyle name="20% - 强调文字颜色 1 2 2" xfId="37"/>
    <cellStyle name="20% - 强调文字颜色 1 3" xfId="31"/>
    <cellStyle name="20% - 强调文字颜色 2 2" xfId="39"/>
    <cellStyle name="20% - 强调文字颜色 2 2 2" xfId="8"/>
    <cellStyle name="20% - 强调文字颜色 2 3" xfId="22"/>
    <cellStyle name="20% - 强调文字颜色 3 2" xfId="35"/>
    <cellStyle name="20% - 强调文字颜色 3 2 2" xfId="6"/>
    <cellStyle name="20% - 强调文字颜色 3 3" xfId="23"/>
    <cellStyle name="20% - 强调文字颜色 4 2" xfId="41"/>
    <cellStyle name="20% - 强调文字颜色 4 2 2" xfId="30"/>
    <cellStyle name="20% - 强调文字颜色 4 3" xfId="43"/>
    <cellStyle name="20% - 强调文字颜色 5 2" xfId="44"/>
    <cellStyle name="20% - 强调文字颜色 5 2 2" xfId="45"/>
    <cellStyle name="20% - 强调文字颜色 5 3" xfId="15"/>
    <cellStyle name="20% - 强调文字颜色 6 2" xfId="46"/>
    <cellStyle name="20% - 强调文字颜色 6 2 2" xfId="47"/>
    <cellStyle name="20% - 强调文字颜色 6 3" xfId="48"/>
    <cellStyle name="40% - 强调文字颜色 1 2" xfId="49"/>
    <cellStyle name="40% - 强调文字颜色 1 2 2" xfId="50"/>
    <cellStyle name="40% - 强调文字颜色 1 3" xfId="52"/>
    <cellStyle name="40% - 强调文字颜色 2 2" xfId="54"/>
    <cellStyle name="40% - 强调文字颜色 2 2 2" xfId="55"/>
    <cellStyle name="40% - 强调文字颜色 2 3" xfId="56"/>
    <cellStyle name="40% - 强调文字颜色 3 2" xfId="59"/>
    <cellStyle name="40% - 强调文字颜色 3 2 2" xfId="61"/>
    <cellStyle name="40% - 强调文字颜色 3 3" xfId="63"/>
    <cellStyle name="40% - 强调文字颜色 4 2" xfId="17"/>
    <cellStyle name="40% - 强调文字颜色 4 2 2" xfId="66"/>
    <cellStyle name="40% - 强调文字颜色 4 3" xfId="68"/>
    <cellStyle name="40% - 强调文字颜色 5 2" xfId="69"/>
    <cellStyle name="40% - 强调文字颜色 5 2 2" xfId="71"/>
    <cellStyle name="40% - 强调文字颜色 5 3" xfId="72"/>
    <cellStyle name="40% - 强调文字颜色 6 2" xfId="74"/>
    <cellStyle name="40% - 强调文字颜色 6 2 2" xfId="75"/>
    <cellStyle name="40% - 强调文字颜色 6 3" xfId="77"/>
    <cellStyle name="60% - 强调文字颜色 1 2" xfId="79"/>
    <cellStyle name="60% - 强调文字颜色 1 2 2" xfId="81"/>
    <cellStyle name="60% - 强调文字颜色 1 3" xfId="82"/>
    <cellStyle name="60% - 强调文字颜色 2 2" xfId="84"/>
    <cellStyle name="60% - 强调文字颜色 2 2 2" xfId="13"/>
    <cellStyle name="60% - 强调文字颜色 2 3" xfId="10"/>
    <cellStyle name="60% - 强调文字颜色 3 2" xfId="85"/>
    <cellStyle name="60% - 强调文字颜色 3 2 2" xfId="86"/>
    <cellStyle name="60% - 强调文字颜色 3 3" xfId="87"/>
    <cellStyle name="60% - 强调文字颜色 4 2" xfId="88"/>
    <cellStyle name="60% - 强调文字颜色 4 2 2" xfId="89"/>
    <cellStyle name="60% - 强调文字颜色 4 3" xfId="70"/>
    <cellStyle name="60% - 强调文字颜色 5 2" xfId="90"/>
    <cellStyle name="60% - 强调文字颜色 5 2 2" xfId="91"/>
    <cellStyle name="60% - 强调文字颜色 5 3" xfId="92"/>
    <cellStyle name="60% - 强调文字颜色 6 2" xfId="93"/>
    <cellStyle name="60% - 强调文字颜色 6 2 2" xfId="94"/>
    <cellStyle name="60% - 强调文字颜色 6 3" xfId="95"/>
    <cellStyle name="ColLevel_1" xfId="97"/>
    <cellStyle name="Normal" xfId="98"/>
    <cellStyle name="RowLevel_1" xfId="101"/>
    <cellStyle name="百分比" xfId="262" builtinId="5"/>
    <cellStyle name="标题 1 2" xfId="103"/>
    <cellStyle name="标题 1 2 2" xfId="105"/>
    <cellStyle name="标题 1 3" xfId="107"/>
    <cellStyle name="标题 2 2" xfId="109"/>
    <cellStyle name="标题 2 2 2" xfId="110"/>
    <cellStyle name="标题 2 3" xfId="112"/>
    <cellStyle name="标题 3 2" xfId="114"/>
    <cellStyle name="标题 3 2 2" xfId="115"/>
    <cellStyle name="标题 3 3" xfId="116"/>
    <cellStyle name="标题 4 2" xfId="118"/>
    <cellStyle name="标题 4 2 2" xfId="119"/>
    <cellStyle name="标题 4 3" xfId="121"/>
    <cellStyle name="标题 5" xfId="123"/>
    <cellStyle name="标题 5 2" xfId="124"/>
    <cellStyle name="标题 6" xfId="125"/>
    <cellStyle name="差 2" xfId="126"/>
    <cellStyle name="差 2 2" xfId="127"/>
    <cellStyle name="差 3" xfId="128"/>
    <cellStyle name="差_53F959C04E7B40FDA383BD435F224A26" xfId="129"/>
    <cellStyle name="差_53F959C04E7B40FDA383BD435F224A26 2" xfId="131"/>
    <cellStyle name="差_53F959C04E7B40FDA383BD435F224A26 2 2" xfId="133"/>
    <cellStyle name="差_CC0D306ED90642F2AFB786D90624FCF6" xfId="134"/>
    <cellStyle name="差_CC0D306ED90642F2AFB786D90624FCF6 2" xfId="135"/>
    <cellStyle name="差_CC0D306ED90642F2AFB786D90624FCF6 2 2" xfId="137"/>
    <cellStyle name="差_潮南区2014年（9）月收支进度表" xfId="138"/>
    <cellStyle name="常规" xfId="0" builtinId="0"/>
    <cellStyle name="常规 10" xfId="139"/>
    <cellStyle name="常规 10 2" xfId="140"/>
    <cellStyle name="常规 10 3" xfId="141"/>
    <cellStyle name="常规 11" xfId="142"/>
    <cellStyle name="常规 12" xfId="143"/>
    <cellStyle name="常规 12 2" xfId="264"/>
    <cellStyle name="常规 12 2 2" xfId="266"/>
    <cellStyle name="常规 13" xfId="144"/>
    <cellStyle name="常规 14" xfId="145"/>
    <cellStyle name="常规 15" xfId="146"/>
    <cellStyle name="常规 16" xfId="147"/>
    <cellStyle name="常规 16 2" xfId="265"/>
    <cellStyle name="常规 16 3" xfId="267"/>
    <cellStyle name="常规 2" xfId="96"/>
    <cellStyle name="常规 2 2" xfId="148"/>
    <cellStyle name="常规 2 2 2" xfId="149"/>
    <cellStyle name="常规 2 2 2 2" xfId="150"/>
    <cellStyle name="常规 2 2 2 2 2" xfId="151"/>
    <cellStyle name="常规 2 2 2 2 2 2" xfId="152"/>
    <cellStyle name="常规 2 2 2 2 3" xfId="153"/>
    <cellStyle name="常规 2 2 2 2 3 2" xfId="154"/>
    <cellStyle name="常规 2 2 2 2 4" xfId="113"/>
    <cellStyle name="常规 2 2 2 3" xfId="155"/>
    <cellStyle name="常规 2 2 2 3 2" xfId="156"/>
    <cellStyle name="常规 2 2 2 3 2 2" xfId="157"/>
    <cellStyle name="常规 2 2 2 3 3" xfId="159"/>
    <cellStyle name="常规 2 2 2 3 3 2" xfId="162"/>
    <cellStyle name="常规 2 2 2 3 4" xfId="117"/>
    <cellStyle name="常规 2 2 2 4" xfId="25"/>
    <cellStyle name="常规 2 2 2 4 2" xfId="100"/>
    <cellStyle name="常规 2 2 2 5" xfId="19"/>
    <cellStyle name="常规 2 2 2 5 2" xfId="164"/>
    <cellStyle name="常规 2 2 2 6" xfId="28"/>
    <cellStyle name="常规 2 2 3" xfId="165"/>
    <cellStyle name="常规 2 2 3 2" xfId="167"/>
    <cellStyle name="常规 2 2 3 2 2" xfId="168"/>
    <cellStyle name="常规 2 2 3 3" xfId="169"/>
    <cellStyle name="常规 2 2 3 3 2" xfId="170"/>
    <cellStyle name="常规 2 2 3 4" xfId="171"/>
    <cellStyle name="常规 2 2 4" xfId="3"/>
    <cellStyle name="常规 2 2 4 2" xfId="172"/>
    <cellStyle name="常规 2 2 4 2 2" xfId="173"/>
    <cellStyle name="常规 2 2 4 3" xfId="130"/>
    <cellStyle name="常规 2 2 4 3 2" xfId="132"/>
    <cellStyle name="常规 2 2 4 4" xfId="174"/>
    <cellStyle name="常规 2 2 5" xfId="175"/>
    <cellStyle name="常规 2 2 5 2" xfId="176"/>
    <cellStyle name="常规 2 2 6" xfId="102"/>
    <cellStyle name="常规 2 2 6 2" xfId="104"/>
    <cellStyle name="常规 2 2 7" xfId="106"/>
    <cellStyle name="常规 2 2 8" xfId="177"/>
    <cellStyle name="常规 2 3" xfId="179"/>
    <cellStyle name="常规 2 3 2" xfId="180"/>
    <cellStyle name="常规 2 3 2 2" xfId="181"/>
    <cellStyle name="常规 2 3 2 2 2" xfId="182"/>
    <cellStyle name="常规 2 3 2 3" xfId="36"/>
    <cellStyle name="常规 2 3 2 3 2" xfId="122"/>
    <cellStyle name="常规 2 3 2 4" xfId="53"/>
    <cellStyle name="常规 2 3 3" xfId="183"/>
    <cellStyle name="常规 2 3 3 2" xfId="184"/>
    <cellStyle name="常规 2 3 3 2 2" xfId="185"/>
    <cellStyle name="常规 2 3 3 3" xfId="186"/>
    <cellStyle name="常规 2 3 3 3 2" xfId="187"/>
    <cellStyle name="常规 2 3 3 4" xfId="58"/>
    <cellStyle name="常规 2 3 4" xfId="188"/>
    <cellStyle name="常规 2 3 4 2" xfId="189"/>
    <cellStyle name="常规 2 3 5" xfId="190"/>
    <cellStyle name="常规 2 3 5 2" xfId="191"/>
    <cellStyle name="常规 2 3 6" xfId="108"/>
    <cellStyle name="常规 2 3 7" xfId="111"/>
    <cellStyle name="常规 2 4" xfId="192"/>
    <cellStyle name="常规 2 5" xfId="194"/>
    <cellStyle name="常规 2 5 2" xfId="196"/>
    <cellStyle name="常规 2 6" xfId="198"/>
    <cellStyle name="常规 2 7" xfId="199"/>
    <cellStyle name="常规 2 8" xfId="201"/>
    <cellStyle name="常规 2_澄海区--2016年   月置换债券使用台账" xfId="203"/>
    <cellStyle name="常规 3" xfId="40"/>
    <cellStyle name="常规 3 2" xfId="29"/>
    <cellStyle name="常规 3 2 2" xfId="204"/>
    <cellStyle name="常规 4" xfId="42"/>
    <cellStyle name="常规 4 2" xfId="205"/>
    <cellStyle name="常规 4 3" xfId="206"/>
    <cellStyle name="常规 4 3 2" xfId="208"/>
    <cellStyle name="常规 5" xfId="83"/>
    <cellStyle name="常规 5 2" xfId="12"/>
    <cellStyle name="常规 5 2 2" xfId="14"/>
    <cellStyle name="常规 5 3" xfId="209"/>
    <cellStyle name="常规 5 3 2" xfId="210"/>
    <cellStyle name="常规 5 4" xfId="207"/>
    <cellStyle name="常规 5 5" xfId="211"/>
    <cellStyle name="常规 6" xfId="9"/>
    <cellStyle name="常规 6 2" xfId="213"/>
    <cellStyle name="常规 6 3" xfId="215"/>
    <cellStyle name="常规 7" xfId="216"/>
    <cellStyle name="常规 7 2" xfId="217"/>
    <cellStyle name="常规 7 3" xfId="5"/>
    <cellStyle name="常规 8" xfId="218"/>
    <cellStyle name="常规 8 2" xfId="24"/>
    <cellStyle name="常规 8 3" xfId="18"/>
    <cellStyle name="常规 9" xfId="219"/>
    <cellStyle name="常规 9 2" xfId="51"/>
    <cellStyle name="常规 9 3" xfId="220"/>
    <cellStyle name="常规_Sheet1 2 3" xfId="161"/>
    <cellStyle name="常规_Sheet1_潮南区2014年财政预算收支明细表（终 2" xfId="166"/>
    <cellStyle name="常规_潮南区2014年财政预算收支明细表" xfId="263"/>
    <cellStyle name="常规_潮南区2015年财政预算收支明细表 2" xfId="223"/>
    <cellStyle name="好 2" xfId="224"/>
    <cellStyle name="好 2 2" xfId="225"/>
    <cellStyle name="好 3" xfId="202"/>
    <cellStyle name="好_53F959C04E7B40FDA383BD435F224A26" xfId="78"/>
    <cellStyle name="好_53F959C04E7B40FDA383BD435F224A26 2" xfId="80"/>
    <cellStyle name="好_53F959C04E7B40FDA383BD435F224A26 2 2" xfId="226"/>
    <cellStyle name="好_CC0D306ED90642F2AFB786D90624FCF6" xfId="227"/>
    <cellStyle name="好_CC0D306ED90642F2AFB786D90624FCF6 2" xfId="228"/>
    <cellStyle name="好_CC0D306ED90642F2AFB786D90624FCF6 2 2" xfId="229"/>
    <cellStyle name="好_潮南区2014年（9）月收支进度表" xfId="136"/>
    <cellStyle name="汇总 2" xfId="230"/>
    <cellStyle name="汇总 2 2" xfId="120"/>
    <cellStyle name="汇总 2 2 2" xfId="231"/>
    <cellStyle name="汇总 2 3" xfId="65"/>
    <cellStyle name="汇总 3" xfId="232"/>
    <cellStyle name="汇总 3 2" xfId="233"/>
    <cellStyle name="计算 2" xfId="4"/>
    <cellStyle name="计算 2 2" xfId="57"/>
    <cellStyle name="计算 2 2 2" xfId="60"/>
    <cellStyle name="计算 2 3" xfId="62"/>
    <cellStyle name="计算 3" xfId="32"/>
    <cellStyle name="计算 3 2" xfId="16"/>
    <cellStyle name="检查单元格 2" xfId="64"/>
    <cellStyle name="检查单元格 2 2" xfId="234"/>
    <cellStyle name="检查单元格 3" xfId="221"/>
    <cellStyle name="解释性文本 2" xfId="235"/>
    <cellStyle name="解释性文本 2 2" xfId="11"/>
    <cellStyle name="解释性文本 3" xfId="236"/>
    <cellStyle name="警告文本 2" xfId="237"/>
    <cellStyle name="警告文本 2 2" xfId="238"/>
    <cellStyle name="警告文本 3" xfId="222"/>
    <cellStyle name="链接单元格 2" xfId="239"/>
    <cellStyle name="链接单元格 2 2" xfId="240"/>
    <cellStyle name="链接单元格 3" xfId="26"/>
    <cellStyle name="千位分隔" xfId="261" builtinId="3"/>
    <cellStyle name="千位分隔 2" xfId="158"/>
    <cellStyle name="千位分隔 2 2" xfId="160"/>
    <cellStyle name="千位分隔 3" xfId="268"/>
    <cellStyle name="千位分隔[0] 2" xfId="269"/>
    <cellStyle name="强调文字颜色 1 2" xfId="99"/>
    <cellStyle name="强调文字颜色 1 2 2" xfId="241"/>
    <cellStyle name="强调文字颜色 1 3" xfId="242"/>
    <cellStyle name="强调文字颜色 2 2" xfId="163"/>
    <cellStyle name="强调文字颜色 2 2 2" xfId="243"/>
    <cellStyle name="强调文字颜色 2 3" xfId="244"/>
    <cellStyle name="强调文字颜色 3 2" xfId="245"/>
    <cellStyle name="强调文字颜色 3 2 2" xfId="76"/>
    <cellStyle name="强调文字颜色 3 3" xfId="246"/>
    <cellStyle name="强调文字颜色 4 2" xfId="193"/>
    <cellStyle name="强调文字颜色 4 2 2" xfId="195"/>
    <cellStyle name="强调文字颜色 4 3" xfId="197"/>
    <cellStyle name="强调文字颜色 5 2" xfId="247"/>
    <cellStyle name="强调文字颜色 5 2 2" xfId="248"/>
    <cellStyle name="强调文字颜色 5 3" xfId="249"/>
    <cellStyle name="强调文字颜色 6 2" xfId="250"/>
    <cellStyle name="强调文字颜色 6 2 2" xfId="251"/>
    <cellStyle name="强调文字颜色 6 3" xfId="252"/>
    <cellStyle name="适中 2" xfId="33"/>
    <cellStyle name="适中 2 2" xfId="73"/>
    <cellStyle name="适中 3" xfId="253"/>
    <cellStyle name="输出 2" xfId="27"/>
    <cellStyle name="输出 2 2" xfId="38"/>
    <cellStyle name="输出 2 2 2" xfId="7"/>
    <cellStyle name="输出 2 3" xfId="21"/>
    <cellStyle name="输出 3" xfId="2"/>
    <cellStyle name="输出 3 2" xfId="34"/>
    <cellStyle name="输入 2" xfId="200"/>
    <cellStyle name="输入 2 2" xfId="254"/>
    <cellStyle name="输入 2 2 2" xfId="67"/>
    <cellStyle name="输入 2 3" xfId="255"/>
    <cellStyle name="输入 3" xfId="256"/>
    <cellStyle name="输入 3 2" xfId="178"/>
    <cellStyle name="样式 1" xfId="257"/>
    <cellStyle name="注释 2" xfId="212"/>
    <cellStyle name="注释 2 2" xfId="258"/>
    <cellStyle name="注释 2 2 2" xfId="259"/>
    <cellStyle name="注释 2 3" xfId="20"/>
    <cellStyle name="注释 3" xfId="214"/>
    <cellStyle name="注释 3 2" xfId="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A55"/>
  <sheetViews>
    <sheetView showZeros="0" tabSelected="1" zoomScale="70" zoomScaleNormal="70" workbookViewId="0">
      <pane ySplit="5" topLeftCell="A6" activePane="bottomLeft" state="frozen"/>
      <selection pane="bottomLeft" activeCell="Z17" sqref="Z17"/>
    </sheetView>
  </sheetViews>
  <sheetFormatPr defaultColWidth="9" defaultRowHeight="14.25"/>
  <cols>
    <col min="1" max="1" width="29.375" style="6" customWidth="1"/>
    <col min="2" max="2" width="15.625" style="6" hidden="1" customWidth="1"/>
    <col min="3" max="3" width="12.625" style="7" hidden="1" customWidth="1"/>
    <col min="4" max="4" width="13.125" style="6" customWidth="1"/>
    <col min="5" max="5" width="13.875" style="6" customWidth="1"/>
    <col min="6" max="6" width="13.875" style="6" hidden="1" customWidth="1"/>
    <col min="7" max="7" width="13.875" style="6" customWidth="1"/>
    <col min="8" max="8" width="13.875" style="294" customWidth="1"/>
    <col min="9" max="10" width="12.625" style="6" customWidth="1"/>
    <col min="11" max="12" width="12.625" style="6" hidden="1" customWidth="1"/>
    <col min="13" max="13" width="29.375" style="6" customWidth="1"/>
    <col min="14" max="14" width="15.625" style="6" hidden="1" customWidth="1"/>
    <col min="15" max="15" width="12.625" style="6" customWidth="1"/>
    <col min="16" max="16" width="13.125" style="6" customWidth="1"/>
    <col min="17" max="17" width="15.625" style="6" customWidth="1"/>
    <col min="18" max="18" width="15.625" style="6" hidden="1" customWidth="1"/>
    <col min="19" max="19" width="15.625" style="6" customWidth="1"/>
    <col min="20" max="20" width="15.625" style="294" customWidth="1"/>
    <col min="21" max="22" width="12.625" style="6" customWidth="1"/>
    <col min="23" max="24" width="12.625" style="6" hidden="1" customWidth="1"/>
    <col min="25" max="25" width="12.625" style="6" customWidth="1"/>
    <col min="26" max="26" width="18.5" style="6" customWidth="1"/>
    <col min="27" max="27" width="14.75" style="6" customWidth="1"/>
    <col min="28" max="16384" width="9" style="6"/>
  </cols>
  <sheetData>
    <row r="1" spans="1:27" s="5" customFormat="1" ht="25.5" customHeight="1">
      <c r="A1" s="8" t="s">
        <v>104</v>
      </c>
      <c r="B1" s="9"/>
      <c r="C1" s="10"/>
      <c r="D1" s="9"/>
      <c r="E1" s="9"/>
      <c r="F1" s="9"/>
      <c r="G1" s="9"/>
      <c r="H1" s="9"/>
      <c r="I1" s="9"/>
      <c r="J1" s="9"/>
      <c r="K1" s="9"/>
      <c r="L1" s="9"/>
      <c r="M1" s="9"/>
      <c r="N1" s="9"/>
      <c r="O1" s="9"/>
      <c r="P1" s="9"/>
      <c r="Q1" s="9"/>
      <c r="R1" s="9"/>
      <c r="S1" s="9"/>
      <c r="T1" s="9"/>
      <c r="U1" s="9"/>
      <c r="V1" s="9"/>
      <c r="W1" s="9"/>
      <c r="X1" s="9"/>
    </row>
    <row r="2" spans="1:27" ht="39.950000000000003" customHeight="1">
      <c r="A2" s="299" t="s">
        <v>598</v>
      </c>
      <c r="B2" s="299"/>
      <c r="C2" s="299"/>
      <c r="D2" s="299"/>
      <c r="E2" s="299"/>
      <c r="F2" s="299"/>
      <c r="G2" s="299"/>
      <c r="H2" s="299"/>
      <c r="I2" s="299"/>
      <c r="J2" s="299"/>
      <c r="K2" s="299"/>
      <c r="L2" s="299"/>
      <c r="M2" s="299"/>
      <c r="N2" s="299"/>
      <c r="O2" s="299"/>
      <c r="P2" s="299"/>
      <c r="Q2" s="299"/>
      <c r="R2" s="299"/>
      <c r="S2" s="299"/>
      <c r="T2" s="299"/>
      <c r="U2" s="299"/>
      <c r="V2" s="299"/>
      <c r="W2" s="299"/>
      <c r="X2" s="299"/>
    </row>
    <row r="3" spans="1:27" ht="18.75" customHeight="1">
      <c r="A3" s="3"/>
      <c r="B3" s="3"/>
      <c r="C3" s="11"/>
      <c r="D3" s="3"/>
      <c r="E3" s="3"/>
      <c r="F3" s="3"/>
      <c r="G3" s="3"/>
      <c r="H3" s="3"/>
      <c r="I3" s="3"/>
      <c r="J3" s="3"/>
      <c r="K3" s="3"/>
      <c r="L3" s="3"/>
      <c r="M3" s="3"/>
      <c r="N3" s="300" t="s">
        <v>0</v>
      </c>
      <c r="O3" s="300"/>
      <c r="P3" s="300"/>
      <c r="Q3" s="300"/>
      <c r="R3" s="300"/>
      <c r="S3" s="300"/>
      <c r="T3" s="300"/>
      <c r="U3" s="300"/>
      <c r="V3" s="300"/>
      <c r="W3" s="300"/>
      <c r="X3" s="300"/>
    </row>
    <row r="4" spans="1:27" ht="30" customHeight="1">
      <c r="A4" s="298" t="s">
        <v>1</v>
      </c>
      <c r="B4" s="298"/>
      <c r="C4" s="298"/>
      <c r="D4" s="298"/>
      <c r="E4" s="298"/>
      <c r="F4" s="298"/>
      <c r="G4" s="298"/>
      <c r="H4" s="298"/>
      <c r="I4" s="298"/>
      <c r="J4" s="298"/>
      <c r="K4" s="298"/>
      <c r="L4" s="298"/>
      <c r="M4" s="298" t="s">
        <v>2</v>
      </c>
      <c r="N4" s="298"/>
      <c r="O4" s="298"/>
      <c r="P4" s="298"/>
      <c r="Q4" s="298"/>
      <c r="R4" s="298"/>
      <c r="S4" s="298"/>
      <c r="T4" s="298"/>
      <c r="U4" s="298"/>
      <c r="V4" s="298"/>
      <c r="W4" s="291"/>
      <c r="X4" s="292"/>
    </row>
    <row r="5" spans="1:27" ht="39.950000000000003" customHeight="1">
      <c r="A5" s="293" t="s">
        <v>3</v>
      </c>
      <c r="B5" s="16" t="s">
        <v>67</v>
      </c>
      <c r="C5" s="16" t="s">
        <v>68</v>
      </c>
      <c r="D5" s="16" t="s">
        <v>69</v>
      </c>
      <c r="E5" s="16" t="s">
        <v>105</v>
      </c>
      <c r="F5" s="16" t="s">
        <v>71</v>
      </c>
      <c r="G5" s="16" t="s">
        <v>106</v>
      </c>
      <c r="H5" s="16" t="s">
        <v>96</v>
      </c>
      <c r="I5" s="16" t="s">
        <v>583</v>
      </c>
      <c r="J5" s="16" t="s">
        <v>584</v>
      </c>
      <c r="K5" s="16" t="s">
        <v>97</v>
      </c>
      <c r="L5" s="16" t="s">
        <v>95</v>
      </c>
      <c r="M5" s="25" t="s">
        <v>3</v>
      </c>
      <c r="N5" s="16" t="s">
        <v>72</v>
      </c>
      <c r="O5" s="16" t="s">
        <v>68</v>
      </c>
      <c r="P5" s="16" t="s">
        <v>69</v>
      </c>
      <c r="Q5" s="16" t="s">
        <v>70</v>
      </c>
      <c r="R5" s="16" t="s">
        <v>71</v>
      </c>
      <c r="S5" s="16" t="s">
        <v>106</v>
      </c>
      <c r="T5" s="16" t="s">
        <v>96</v>
      </c>
      <c r="U5" s="16" t="s">
        <v>583</v>
      </c>
      <c r="V5" s="16" t="s">
        <v>584</v>
      </c>
      <c r="W5" s="16" t="s">
        <v>97</v>
      </c>
      <c r="X5" s="16" t="s">
        <v>95</v>
      </c>
    </row>
    <row r="6" spans="1:27" ht="30" customHeight="1">
      <c r="A6" s="19" t="s">
        <v>4</v>
      </c>
      <c r="B6" s="15">
        <f t="shared" ref="B6:G6" si="0">B7+B8</f>
        <v>115035</v>
      </c>
      <c r="C6" s="15">
        <f t="shared" si="0"/>
        <v>108829.67</v>
      </c>
      <c r="D6" s="15">
        <f t="shared" si="0"/>
        <v>113727</v>
      </c>
      <c r="E6" s="15">
        <f t="shared" si="0"/>
        <v>113727</v>
      </c>
      <c r="F6" s="15">
        <f t="shared" si="0"/>
        <v>96167</v>
      </c>
      <c r="G6" s="15">
        <f t="shared" si="0"/>
        <v>104683</v>
      </c>
      <c r="H6" s="15">
        <f t="shared" ref="H6" si="1">H7+H8</f>
        <v>107279</v>
      </c>
      <c r="I6" s="20">
        <f>H6/G6-1</f>
        <v>2.4798677913319356E-2</v>
      </c>
      <c r="J6" s="15">
        <f>H6-G6</f>
        <v>2596</v>
      </c>
      <c r="K6" s="20">
        <f t="shared" ref="K6:K23" si="2">H6/C6-1</f>
        <v>-1.4248595994088675E-2</v>
      </c>
      <c r="L6" s="15">
        <f t="shared" ref="L6:L23" si="3">H6-C6</f>
        <v>-1550.6699999999983</v>
      </c>
      <c r="M6" s="21" t="s">
        <v>5</v>
      </c>
      <c r="N6" s="15">
        <f t="shared" ref="N6:S6" si="4">N7+N15</f>
        <v>302950</v>
      </c>
      <c r="O6" s="15">
        <f t="shared" si="4"/>
        <v>277914</v>
      </c>
      <c r="P6" s="15">
        <f t="shared" si="4"/>
        <v>332320</v>
      </c>
      <c r="Q6" s="15">
        <f t="shared" si="4"/>
        <v>332320</v>
      </c>
      <c r="R6" s="15">
        <f t="shared" si="4"/>
        <v>245941</v>
      </c>
      <c r="S6" s="15">
        <f t="shared" si="4"/>
        <v>282320</v>
      </c>
      <c r="T6" s="15">
        <f t="shared" ref="T6" si="5">T7+T15</f>
        <v>273488</v>
      </c>
      <c r="U6" s="20">
        <f>T6/S6-1</f>
        <v>-3.1283649759138554E-2</v>
      </c>
      <c r="V6" s="15">
        <f>T6-S6</f>
        <v>-8832</v>
      </c>
      <c r="W6" s="20">
        <f>T6/O6-1</f>
        <v>-1.5925789992587647E-2</v>
      </c>
      <c r="X6" s="15">
        <f>T6-O6</f>
        <v>-4426</v>
      </c>
      <c r="Z6" s="13"/>
      <c r="AA6" s="13"/>
    </row>
    <row r="7" spans="1:27" ht="30" customHeight="1">
      <c r="A7" s="21" t="s">
        <v>6</v>
      </c>
      <c r="B7" s="15">
        <v>88573</v>
      </c>
      <c r="C7" s="15">
        <v>76316.67</v>
      </c>
      <c r="D7" s="15">
        <v>80896</v>
      </c>
      <c r="E7" s="15">
        <v>80896</v>
      </c>
      <c r="F7" s="15">
        <v>66080</v>
      </c>
      <c r="G7" s="15">
        <f>F7+7000</f>
        <v>73080</v>
      </c>
      <c r="H7" s="15">
        <v>74213</v>
      </c>
      <c r="I7" s="20">
        <f t="shared" ref="I7:I36" si="6">H7/G7-1</f>
        <v>1.5503557744936947E-2</v>
      </c>
      <c r="J7" s="15">
        <f t="shared" ref="J7:J36" si="7">H7-G7</f>
        <v>1133</v>
      </c>
      <c r="K7" s="20">
        <f t="shared" si="2"/>
        <v>-2.7565012991263904E-2</v>
      </c>
      <c r="L7" s="15">
        <f t="shared" si="3"/>
        <v>-2103.6699999999983</v>
      </c>
      <c r="M7" s="21" t="s">
        <v>7</v>
      </c>
      <c r="N7" s="15">
        <f t="shared" ref="N7:S7" si="8">N8+N12+N13+N14</f>
        <v>202293</v>
      </c>
      <c r="O7" s="15">
        <f t="shared" si="8"/>
        <v>206264</v>
      </c>
      <c r="P7" s="15">
        <f t="shared" si="8"/>
        <v>232857</v>
      </c>
      <c r="Q7" s="15">
        <f t="shared" si="8"/>
        <v>232857</v>
      </c>
      <c r="R7" s="15">
        <f t="shared" si="8"/>
        <v>189042</v>
      </c>
      <c r="S7" s="15">
        <f t="shared" si="8"/>
        <v>206666</v>
      </c>
      <c r="T7" s="15">
        <f t="shared" ref="T7" si="9">T8+T12+T13+T14</f>
        <v>213943</v>
      </c>
      <c r="U7" s="20">
        <f t="shared" ref="U7:U35" si="10">T7/S7-1</f>
        <v>3.5211403907754457E-2</v>
      </c>
      <c r="V7" s="15">
        <f t="shared" ref="V7:V36" si="11">T7-S7</f>
        <v>7277</v>
      </c>
      <c r="W7" s="20">
        <f t="shared" ref="W7:W35" si="12">T7/O7-1</f>
        <v>3.7228988092929516E-2</v>
      </c>
      <c r="X7" s="15">
        <f t="shared" ref="X7:X36" si="13">T7-O7</f>
        <v>7679</v>
      </c>
      <c r="Y7" s="13"/>
      <c r="Z7" s="13">
        <v>74288</v>
      </c>
      <c r="AA7" s="20">
        <f>Z7/H7-1</f>
        <v>1.0106046110520683E-3</v>
      </c>
    </row>
    <row r="8" spans="1:27" ht="65.25" customHeight="1">
      <c r="A8" s="21" t="s">
        <v>8</v>
      </c>
      <c r="B8" s="15">
        <f t="shared" ref="B8:D8" si="14">B9+B10</f>
        <v>26462</v>
      </c>
      <c r="C8" s="15">
        <f t="shared" si="14"/>
        <v>32513</v>
      </c>
      <c r="D8" s="15">
        <f t="shared" si="14"/>
        <v>32831</v>
      </c>
      <c r="E8" s="15">
        <f t="shared" ref="E8:F8" si="15">E9+E10</f>
        <v>32831</v>
      </c>
      <c r="F8" s="15">
        <f t="shared" si="15"/>
        <v>30087</v>
      </c>
      <c r="G8" s="15">
        <f>G9+G10</f>
        <v>31603</v>
      </c>
      <c r="H8" s="15">
        <f>H9+H10</f>
        <v>33066</v>
      </c>
      <c r="I8" s="20">
        <f t="shared" si="6"/>
        <v>4.629307344239475E-2</v>
      </c>
      <c r="J8" s="15">
        <f t="shared" si="7"/>
        <v>1463</v>
      </c>
      <c r="K8" s="20">
        <f t="shared" si="2"/>
        <v>1.7008581182911486E-2</v>
      </c>
      <c r="L8" s="15">
        <f t="shared" si="3"/>
        <v>553</v>
      </c>
      <c r="M8" s="19" t="s">
        <v>9</v>
      </c>
      <c r="N8" s="15">
        <f t="shared" ref="N8:S8" si="16">N9+N10+N11</f>
        <v>144158</v>
      </c>
      <c r="O8" s="15">
        <f t="shared" si="16"/>
        <v>136487</v>
      </c>
      <c r="P8" s="15">
        <f t="shared" si="16"/>
        <v>151738</v>
      </c>
      <c r="Q8" s="15">
        <f t="shared" si="16"/>
        <v>151738</v>
      </c>
      <c r="R8" s="15">
        <f t="shared" si="16"/>
        <v>127409</v>
      </c>
      <c r="S8" s="15">
        <f t="shared" si="16"/>
        <v>138714</v>
      </c>
      <c r="T8" s="15">
        <f t="shared" ref="T8" si="17">T9+T10+T11</f>
        <v>134391</v>
      </c>
      <c r="U8" s="20">
        <f t="shared" si="10"/>
        <v>-3.1164842770015966E-2</v>
      </c>
      <c r="V8" s="15">
        <f t="shared" si="11"/>
        <v>-4323</v>
      </c>
      <c r="W8" s="20">
        <f t="shared" si="12"/>
        <v>-1.5356773905207066E-2</v>
      </c>
      <c r="X8" s="15">
        <f t="shared" si="13"/>
        <v>-2096</v>
      </c>
      <c r="Y8" s="13"/>
      <c r="AA8" s="20">
        <f>T7/T6</f>
        <v>0.78227563915052944</v>
      </c>
    </row>
    <row r="9" spans="1:27" ht="30" customHeight="1">
      <c r="A9" s="21" t="s">
        <v>10</v>
      </c>
      <c r="B9" s="15">
        <v>5600</v>
      </c>
      <c r="C9" s="15">
        <v>5007</v>
      </c>
      <c r="D9" s="15">
        <v>5000</v>
      </c>
      <c r="E9" s="15">
        <v>5000</v>
      </c>
      <c r="F9" s="15">
        <v>3797</v>
      </c>
      <c r="G9" s="15">
        <f>F9+300</f>
        <v>4097</v>
      </c>
      <c r="H9" s="15">
        <v>4336</v>
      </c>
      <c r="I9" s="20">
        <f t="shared" si="6"/>
        <v>5.8335367341957545E-2</v>
      </c>
      <c r="J9" s="15">
        <f t="shared" si="7"/>
        <v>239</v>
      </c>
      <c r="K9" s="20">
        <f t="shared" si="2"/>
        <v>-0.13401238266427007</v>
      </c>
      <c r="L9" s="15">
        <f t="shared" si="3"/>
        <v>-671</v>
      </c>
      <c r="M9" s="19" t="s">
        <v>11</v>
      </c>
      <c r="N9" s="15">
        <v>36805</v>
      </c>
      <c r="O9" s="15">
        <v>29680</v>
      </c>
      <c r="P9" s="15">
        <v>37340</v>
      </c>
      <c r="Q9" s="15">
        <v>37340</v>
      </c>
      <c r="R9" s="15">
        <f>28780+465</f>
        <v>29245</v>
      </c>
      <c r="S9" s="15">
        <f>R9+2595</f>
        <v>31840</v>
      </c>
      <c r="T9" s="15">
        <v>30839</v>
      </c>
      <c r="U9" s="20">
        <f t="shared" si="10"/>
        <v>-3.1438442211055295E-2</v>
      </c>
      <c r="V9" s="15">
        <f t="shared" si="11"/>
        <v>-1001</v>
      </c>
      <c r="W9" s="20">
        <f t="shared" si="12"/>
        <v>3.904986522911047E-2</v>
      </c>
      <c r="X9" s="15">
        <f t="shared" si="13"/>
        <v>1159</v>
      </c>
      <c r="Y9" s="13"/>
      <c r="Z9" s="6" t="s">
        <v>73</v>
      </c>
    </row>
    <row r="10" spans="1:27" ht="30" customHeight="1">
      <c r="A10" s="19" t="s">
        <v>12</v>
      </c>
      <c r="B10" s="15">
        <f>20900-38</f>
        <v>20862</v>
      </c>
      <c r="C10" s="15">
        <v>27506</v>
      </c>
      <c r="D10" s="15">
        <v>27831</v>
      </c>
      <c r="E10" s="15">
        <v>27831</v>
      </c>
      <c r="F10" s="15">
        <v>26290</v>
      </c>
      <c r="G10" s="15">
        <f>F10+1216</f>
        <v>27506</v>
      </c>
      <c r="H10" s="15">
        <v>28730</v>
      </c>
      <c r="I10" s="20">
        <f t="shared" si="6"/>
        <v>4.4499381953028383E-2</v>
      </c>
      <c r="J10" s="15">
        <f t="shared" si="7"/>
        <v>1224</v>
      </c>
      <c r="K10" s="20">
        <f t="shared" si="2"/>
        <v>4.4499381953028383E-2</v>
      </c>
      <c r="L10" s="15">
        <f t="shared" si="3"/>
        <v>1224</v>
      </c>
      <c r="M10" s="19" t="s">
        <v>13</v>
      </c>
      <c r="N10" s="15">
        <v>12433</v>
      </c>
      <c r="O10" s="15">
        <v>12787</v>
      </c>
      <c r="P10" s="15">
        <v>14252</v>
      </c>
      <c r="Q10" s="15">
        <v>14252</v>
      </c>
      <c r="R10" s="15">
        <f>11929+129</f>
        <v>12058</v>
      </c>
      <c r="S10" s="15">
        <f>R10+1070</f>
        <v>13128</v>
      </c>
      <c r="T10" s="15">
        <v>12838</v>
      </c>
      <c r="U10" s="20">
        <f t="shared" si="10"/>
        <v>-2.2090188909201669E-2</v>
      </c>
      <c r="V10" s="15">
        <f t="shared" si="11"/>
        <v>-290</v>
      </c>
      <c r="W10" s="20">
        <f t="shared" si="12"/>
        <v>3.9884257448972171E-3</v>
      </c>
      <c r="X10" s="15">
        <f t="shared" si="13"/>
        <v>51</v>
      </c>
      <c r="Y10" s="13"/>
    </row>
    <row r="11" spans="1:27" ht="30" customHeight="1">
      <c r="A11" s="17" t="s">
        <v>14</v>
      </c>
      <c r="B11" s="15">
        <f>103493-2+5-400+2+5+38-55</f>
        <v>103086</v>
      </c>
      <c r="C11" s="15">
        <f>72646+2486-535</f>
        <v>74597</v>
      </c>
      <c r="D11" s="15">
        <v>100000</v>
      </c>
      <c r="E11" s="15">
        <v>100000</v>
      </c>
      <c r="F11" s="15">
        <v>95156</v>
      </c>
      <c r="G11" s="15">
        <v>95156</v>
      </c>
      <c r="H11" s="15">
        <v>98156</v>
      </c>
      <c r="I11" s="20">
        <f t="shared" si="6"/>
        <v>3.1527176426079384E-2</v>
      </c>
      <c r="J11" s="15">
        <f t="shared" si="7"/>
        <v>3000</v>
      </c>
      <c r="K11" s="20">
        <f t="shared" si="2"/>
        <v>0.31581698995938168</v>
      </c>
      <c r="L11" s="15">
        <f t="shared" si="3"/>
        <v>23559</v>
      </c>
      <c r="M11" s="19" t="s">
        <v>15</v>
      </c>
      <c r="N11" s="15">
        <v>94920</v>
      </c>
      <c r="O11" s="15">
        <v>94020</v>
      </c>
      <c r="P11" s="15">
        <v>100146</v>
      </c>
      <c r="Q11" s="15">
        <v>100146</v>
      </c>
      <c r="R11" s="15">
        <f>83932+2174</f>
        <v>86106</v>
      </c>
      <c r="S11" s="15">
        <f>R11+7640</f>
        <v>93746</v>
      </c>
      <c r="T11" s="15">
        <v>90714</v>
      </c>
      <c r="U11" s="20">
        <f t="shared" si="10"/>
        <v>-3.2342713289100322E-2</v>
      </c>
      <c r="V11" s="15">
        <f t="shared" si="11"/>
        <v>-3032</v>
      </c>
      <c r="W11" s="20">
        <f t="shared" si="12"/>
        <v>-3.5162731333758801E-2</v>
      </c>
      <c r="X11" s="15">
        <f t="shared" si="13"/>
        <v>-3306</v>
      </c>
      <c r="Y11" s="13"/>
    </row>
    <row r="12" spans="1:27" ht="65.25" customHeight="1">
      <c r="A12" s="17" t="s">
        <v>16</v>
      </c>
      <c r="B12" s="15" t="e">
        <f>B13+B14+#REF!</f>
        <v>#REF!</v>
      </c>
      <c r="C12" s="15">
        <f t="shared" ref="C12:H12" si="18">C13+C14+C15</f>
        <v>312263</v>
      </c>
      <c r="D12" s="15">
        <f t="shared" si="18"/>
        <v>330000</v>
      </c>
      <c r="E12" s="15">
        <f t="shared" si="18"/>
        <v>330000</v>
      </c>
      <c r="F12" s="15">
        <f t="shared" si="18"/>
        <v>378288</v>
      </c>
      <c r="G12" s="15">
        <f t="shared" si="18"/>
        <v>378288</v>
      </c>
      <c r="H12" s="15">
        <f t="shared" si="18"/>
        <v>358413</v>
      </c>
      <c r="I12" s="20">
        <f t="shared" si="6"/>
        <v>-5.2539335109757612E-2</v>
      </c>
      <c r="J12" s="15">
        <f t="shared" si="7"/>
        <v>-19875</v>
      </c>
      <c r="K12" s="20">
        <f t="shared" si="2"/>
        <v>0.14779208551765666</v>
      </c>
      <c r="L12" s="15">
        <f t="shared" si="3"/>
        <v>46150</v>
      </c>
      <c r="M12" s="22" t="s">
        <v>74</v>
      </c>
      <c r="N12" s="15">
        <v>46938</v>
      </c>
      <c r="O12" s="15">
        <v>57495</v>
      </c>
      <c r="P12" s="15">
        <v>66271</v>
      </c>
      <c r="Q12" s="15">
        <v>66271</v>
      </c>
      <c r="R12" s="15">
        <v>49452</v>
      </c>
      <c r="S12" s="15">
        <f>R12+5238</f>
        <v>54690</v>
      </c>
      <c r="T12" s="15">
        <f>55159+7203</f>
        <v>62362</v>
      </c>
      <c r="U12" s="20">
        <f t="shared" si="10"/>
        <v>0.14028158712744565</v>
      </c>
      <c r="V12" s="15">
        <f t="shared" si="11"/>
        <v>7672</v>
      </c>
      <c r="W12" s="20">
        <f t="shared" si="12"/>
        <v>8.4650839203409101E-2</v>
      </c>
      <c r="X12" s="15">
        <f t="shared" si="13"/>
        <v>4867</v>
      </c>
      <c r="Y12" s="13"/>
      <c r="Z12" s="6" t="s">
        <v>66</v>
      </c>
    </row>
    <row r="13" spans="1:27" ht="30" customHeight="1">
      <c r="A13" s="17" t="s">
        <v>17</v>
      </c>
      <c r="B13" s="15">
        <v>140655</v>
      </c>
      <c r="C13" s="15">
        <f>208050-10000</f>
        <v>198050</v>
      </c>
      <c r="D13" s="15">
        <v>200000</v>
      </c>
      <c r="E13" s="15">
        <v>200000</v>
      </c>
      <c r="F13" s="15">
        <v>295652</v>
      </c>
      <c r="G13" s="15">
        <f>F13</f>
        <v>295652</v>
      </c>
      <c r="H13" s="15">
        <v>279008</v>
      </c>
      <c r="I13" s="20">
        <f t="shared" si="6"/>
        <v>-5.6295915468185576E-2</v>
      </c>
      <c r="J13" s="15">
        <f t="shared" si="7"/>
        <v>-16644</v>
      </c>
      <c r="K13" s="20">
        <f t="shared" si="2"/>
        <v>0.40877556172683671</v>
      </c>
      <c r="L13" s="15">
        <f t="shared" si="3"/>
        <v>80958</v>
      </c>
      <c r="M13" s="19" t="s">
        <v>18</v>
      </c>
      <c r="N13" s="15">
        <v>7970</v>
      </c>
      <c r="O13" s="15">
        <v>9056</v>
      </c>
      <c r="P13" s="15">
        <f>8529+35+2000+13+1000</f>
        <v>11577</v>
      </c>
      <c r="Q13" s="15">
        <f>8529+35+2000+13+1000</f>
        <v>11577</v>
      </c>
      <c r="R13" s="15">
        <f>11918-2768</f>
        <v>9150</v>
      </c>
      <c r="S13" s="15">
        <f>R13+841</f>
        <v>9991</v>
      </c>
      <c r="T13" s="15">
        <v>13735</v>
      </c>
      <c r="U13" s="20">
        <f t="shared" si="10"/>
        <v>0.37473726353718351</v>
      </c>
      <c r="V13" s="15">
        <f t="shared" si="11"/>
        <v>3744</v>
      </c>
      <c r="W13" s="20">
        <f t="shared" si="12"/>
        <v>0.51667402826855113</v>
      </c>
      <c r="X13" s="15">
        <f t="shared" si="13"/>
        <v>4679</v>
      </c>
      <c r="Y13" s="13"/>
      <c r="Z13" s="27"/>
    </row>
    <row r="14" spans="1:27" ht="30" customHeight="1">
      <c r="A14" s="17" t="s">
        <v>19</v>
      </c>
      <c r="B14" s="15">
        <v>128412</v>
      </c>
      <c r="C14" s="15">
        <f>113513-2773+30-32+604-715-16-5+47-231-9</f>
        <v>110413</v>
      </c>
      <c r="D14" s="15">
        <v>130000</v>
      </c>
      <c r="E14" s="15">
        <v>130000</v>
      </c>
      <c r="F14" s="15">
        <v>82636</v>
      </c>
      <c r="G14" s="15">
        <f>F14</f>
        <v>82636</v>
      </c>
      <c r="H14" s="15">
        <f>108376-H16-H17-H18</f>
        <v>81850</v>
      </c>
      <c r="I14" s="20">
        <f t="shared" si="6"/>
        <v>-9.5115930103102375E-3</v>
      </c>
      <c r="J14" s="15">
        <f t="shared" si="7"/>
        <v>-786</v>
      </c>
      <c r="K14" s="20">
        <f t="shared" si="2"/>
        <v>-0.25869236412378982</v>
      </c>
      <c r="L14" s="15">
        <f t="shared" si="3"/>
        <v>-28563</v>
      </c>
      <c r="M14" s="19" t="s">
        <v>75</v>
      </c>
      <c r="N14" s="15">
        <f>3229-2</f>
        <v>3227</v>
      </c>
      <c r="O14" s="15">
        <f>2831+395</f>
        <v>3226</v>
      </c>
      <c r="P14" s="15">
        <v>3271</v>
      </c>
      <c r="Q14" s="15">
        <v>3271</v>
      </c>
      <c r="R14" s="15">
        <v>3031</v>
      </c>
      <c r="S14" s="15">
        <f>R14+240</f>
        <v>3271</v>
      </c>
      <c r="T14" s="15">
        <v>3455</v>
      </c>
      <c r="U14" s="20">
        <f t="shared" si="10"/>
        <v>5.6251910730663379E-2</v>
      </c>
      <c r="V14" s="15">
        <f t="shared" si="11"/>
        <v>184</v>
      </c>
      <c r="W14" s="20">
        <f t="shared" si="12"/>
        <v>7.0985740855548762E-2</v>
      </c>
      <c r="X14" s="15">
        <f t="shared" si="13"/>
        <v>229</v>
      </c>
      <c r="Y14" s="13"/>
    </row>
    <row r="15" spans="1:27" ht="30" customHeight="1">
      <c r="A15" s="17" t="s">
        <v>20</v>
      </c>
      <c r="B15" s="15"/>
      <c r="C15" s="15">
        <f>3800</f>
        <v>3800</v>
      </c>
      <c r="D15" s="15"/>
      <c r="E15" s="15"/>
      <c r="F15" s="15"/>
      <c r="G15" s="15"/>
      <c r="H15" s="15">
        <f>-2448+3</f>
        <v>-2445</v>
      </c>
      <c r="I15" s="20"/>
      <c r="J15" s="15">
        <f t="shared" si="7"/>
        <v>-2445</v>
      </c>
      <c r="K15" s="20">
        <f t="shared" si="2"/>
        <v>-1.6434210526315789</v>
      </c>
      <c r="L15" s="15">
        <f t="shared" si="3"/>
        <v>-6245</v>
      </c>
      <c r="M15" s="21" t="s">
        <v>21</v>
      </c>
      <c r="N15" s="15">
        <f t="shared" ref="N15:S15" si="19">SUM(N16:N17)</f>
        <v>100657</v>
      </c>
      <c r="O15" s="15">
        <f t="shared" si="19"/>
        <v>71650</v>
      </c>
      <c r="P15" s="15">
        <f t="shared" si="19"/>
        <v>99463</v>
      </c>
      <c r="Q15" s="15">
        <f t="shared" si="19"/>
        <v>99463</v>
      </c>
      <c r="R15" s="15">
        <f t="shared" si="19"/>
        <v>56899</v>
      </c>
      <c r="S15" s="15">
        <f t="shared" si="19"/>
        <v>75654</v>
      </c>
      <c r="T15" s="15">
        <f t="shared" ref="T15" si="20">SUM(T16:T17)</f>
        <v>59545</v>
      </c>
      <c r="U15" s="20">
        <f t="shared" si="10"/>
        <v>-0.21292991778359371</v>
      </c>
      <c r="V15" s="15">
        <f t="shared" si="11"/>
        <v>-16109</v>
      </c>
      <c r="W15" s="20">
        <f t="shared" si="12"/>
        <v>-0.16894626657362177</v>
      </c>
      <c r="X15" s="15">
        <f t="shared" si="13"/>
        <v>-12105</v>
      </c>
      <c r="Y15" s="13"/>
    </row>
    <row r="16" spans="1:27" ht="39.950000000000003" customHeight="1">
      <c r="A16" s="17" t="s">
        <v>22</v>
      </c>
      <c r="B16" s="15">
        <v>2773</v>
      </c>
      <c r="C16" s="15">
        <v>2773</v>
      </c>
      <c r="D16" s="15">
        <v>3984</v>
      </c>
      <c r="E16" s="15">
        <v>3984</v>
      </c>
      <c r="F16" s="15">
        <v>3984</v>
      </c>
      <c r="G16" s="15">
        <v>3984</v>
      </c>
      <c r="H16" s="15">
        <v>3984</v>
      </c>
      <c r="I16" s="20">
        <f t="shared" si="6"/>
        <v>0</v>
      </c>
      <c r="J16" s="15">
        <f t="shared" si="7"/>
        <v>0</v>
      </c>
      <c r="K16" s="20">
        <f t="shared" si="2"/>
        <v>0.43671114316624604</v>
      </c>
      <c r="L16" s="15">
        <f t="shared" si="3"/>
        <v>1211</v>
      </c>
      <c r="M16" s="19" t="s">
        <v>23</v>
      </c>
      <c r="N16" s="15">
        <f>89677-3767+5+4494</f>
        <v>90409</v>
      </c>
      <c r="O16" s="15">
        <f>62700+2566-9</f>
        <v>65257</v>
      </c>
      <c r="P16" s="15">
        <f>92262-P23-P26</f>
        <v>87611</v>
      </c>
      <c r="Q16" s="15">
        <f>92262-Q23-Q26</f>
        <v>87611</v>
      </c>
      <c r="R16" s="15">
        <f>52869-R26</f>
        <v>50744</v>
      </c>
      <c r="S16" s="15">
        <f>R16+16633</f>
        <v>67377</v>
      </c>
      <c r="T16" s="15">
        <f>56197-T23-T26</f>
        <v>51841</v>
      </c>
      <c r="U16" s="20">
        <f t="shared" si="10"/>
        <v>-0.23058313667868857</v>
      </c>
      <c r="V16" s="15">
        <f t="shared" si="11"/>
        <v>-15536</v>
      </c>
      <c r="W16" s="20">
        <f t="shared" si="12"/>
        <v>-0.20558714007692658</v>
      </c>
      <c r="X16" s="15">
        <f t="shared" si="13"/>
        <v>-13416</v>
      </c>
      <c r="Y16" s="13"/>
    </row>
    <row r="17" spans="1:26" ht="39.950000000000003" customHeight="1">
      <c r="A17" s="17" t="s">
        <v>98</v>
      </c>
      <c r="B17" s="15">
        <v>10000</v>
      </c>
      <c r="C17" s="15">
        <v>10000</v>
      </c>
      <c r="D17" s="15">
        <v>10000</v>
      </c>
      <c r="E17" s="15">
        <v>10000</v>
      </c>
      <c r="F17" s="15">
        <v>10000</v>
      </c>
      <c r="G17" s="15">
        <v>10000</v>
      </c>
      <c r="H17" s="15">
        <v>10000</v>
      </c>
      <c r="I17" s="20">
        <f t="shared" si="6"/>
        <v>0</v>
      </c>
      <c r="J17" s="15">
        <f t="shared" si="7"/>
        <v>0</v>
      </c>
      <c r="K17" s="20">
        <f t="shared" si="2"/>
        <v>0</v>
      </c>
      <c r="L17" s="15">
        <f t="shared" si="3"/>
        <v>0</v>
      </c>
      <c r="M17" s="19" t="s">
        <v>24</v>
      </c>
      <c r="N17" s="15">
        <f>10975-727</f>
        <v>10248</v>
      </c>
      <c r="O17" s="15">
        <v>6393</v>
      </c>
      <c r="P17" s="15">
        <f>11852</f>
        <v>11852</v>
      </c>
      <c r="Q17" s="15">
        <f>11852</f>
        <v>11852</v>
      </c>
      <c r="R17" s="15">
        <f>5252+903</f>
        <v>6155</v>
      </c>
      <c r="S17" s="15">
        <f>R17+2122</f>
        <v>8277</v>
      </c>
      <c r="T17" s="15">
        <v>7704</v>
      </c>
      <c r="U17" s="20">
        <f t="shared" si="10"/>
        <v>-6.9227981152591545E-2</v>
      </c>
      <c r="V17" s="15">
        <f t="shared" si="11"/>
        <v>-573</v>
      </c>
      <c r="W17" s="20">
        <f t="shared" si="12"/>
        <v>0.20506804317221961</v>
      </c>
      <c r="X17" s="15">
        <f t="shared" si="13"/>
        <v>1311</v>
      </c>
      <c r="Y17" s="13"/>
    </row>
    <row r="18" spans="1:26" ht="39.950000000000003" customHeight="1">
      <c r="A18" s="17" t="s">
        <v>99</v>
      </c>
      <c r="B18" s="15">
        <v>11782</v>
      </c>
      <c r="C18" s="15">
        <v>16569</v>
      </c>
      <c r="D18" s="15">
        <v>17000</v>
      </c>
      <c r="E18" s="15">
        <v>17000</v>
      </c>
      <c r="F18" s="15">
        <v>13812</v>
      </c>
      <c r="G18" s="15">
        <v>13812</v>
      </c>
      <c r="H18" s="15">
        <v>12542</v>
      </c>
      <c r="I18" s="20">
        <f t="shared" si="6"/>
        <v>-9.194902982913411E-2</v>
      </c>
      <c r="J18" s="15">
        <f t="shared" si="7"/>
        <v>-1270</v>
      </c>
      <c r="K18" s="20">
        <f t="shared" si="2"/>
        <v>-0.24304423924195784</v>
      </c>
      <c r="L18" s="15">
        <f t="shared" si="3"/>
        <v>-4027</v>
      </c>
      <c r="M18" s="18" t="s">
        <v>25</v>
      </c>
      <c r="N18" s="15">
        <f t="shared" ref="N18:S18" si="21">N19+N20</f>
        <v>269067</v>
      </c>
      <c r="O18" s="15">
        <f t="shared" si="21"/>
        <v>289062</v>
      </c>
      <c r="P18" s="15">
        <f t="shared" si="21"/>
        <v>330000</v>
      </c>
      <c r="Q18" s="15">
        <f t="shared" si="21"/>
        <v>330000</v>
      </c>
      <c r="R18" s="15">
        <f t="shared" si="21"/>
        <v>251702</v>
      </c>
      <c r="S18" s="15">
        <f t="shared" si="21"/>
        <v>341702</v>
      </c>
      <c r="T18" s="15">
        <f t="shared" ref="T18" si="22">T19+T20</f>
        <v>349028</v>
      </c>
      <c r="U18" s="20">
        <f t="shared" si="10"/>
        <v>2.1439734037260516E-2</v>
      </c>
      <c r="V18" s="15">
        <f t="shared" si="11"/>
        <v>7326</v>
      </c>
      <c r="W18" s="20">
        <f t="shared" si="12"/>
        <v>0.20745030477890558</v>
      </c>
      <c r="X18" s="15">
        <f t="shared" si="13"/>
        <v>59966</v>
      </c>
      <c r="Y18" s="13"/>
    </row>
    <row r="19" spans="1:26" ht="39.950000000000003" customHeight="1">
      <c r="A19" s="17" t="s">
        <v>76</v>
      </c>
      <c r="B19" s="15" t="e">
        <f>B20+B21+#REF!</f>
        <v>#REF!</v>
      </c>
      <c r="C19" s="15">
        <f t="shared" ref="C19:H19" si="23">C20+C21</f>
        <v>45767</v>
      </c>
      <c r="D19" s="15">
        <f t="shared" si="23"/>
        <v>22073</v>
      </c>
      <c r="E19" s="15">
        <f t="shared" si="23"/>
        <v>22073</v>
      </c>
      <c r="F19" s="15">
        <f t="shared" si="23"/>
        <v>22073</v>
      </c>
      <c r="G19" s="15">
        <f t="shared" si="23"/>
        <v>22073</v>
      </c>
      <c r="H19" s="15">
        <f t="shared" si="23"/>
        <v>22073</v>
      </c>
      <c r="I19" s="20">
        <f t="shared" si="6"/>
        <v>0</v>
      </c>
      <c r="J19" s="15">
        <f t="shared" si="7"/>
        <v>0</v>
      </c>
      <c r="K19" s="20">
        <f t="shared" si="2"/>
        <v>-0.51770926650206484</v>
      </c>
      <c r="L19" s="15">
        <f t="shared" si="3"/>
        <v>-23694</v>
      </c>
      <c r="M19" s="21" t="s">
        <v>26</v>
      </c>
      <c r="N19" s="15">
        <f>B13</f>
        <v>140655</v>
      </c>
      <c r="O19" s="15">
        <f>198363-10000</f>
        <v>188363</v>
      </c>
      <c r="P19" s="15">
        <f t="shared" ref="P19:Q20" si="24">D13</f>
        <v>200000</v>
      </c>
      <c r="Q19" s="15">
        <f t="shared" si="24"/>
        <v>200000</v>
      </c>
      <c r="R19" s="15">
        <v>208049</v>
      </c>
      <c r="S19" s="15">
        <f>R19+60000</f>
        <v>268049</v>
      </c>
      <c r="T19" s="15">
        <f>268217+4929-511</f>
        <v>272635</v>
      </c>
      <c r="U19" s="20">
        <f t="shared" si="10"/>
        <v>1.7108812194785328E-2</v>
      </c>
      <c r="V19" s="15">
        <f t="shared" si="11"/>
        <v>4586</v>
      </c>
      <c r="W19" s="20">
        <f t="shared" si="12"/>
        <v>0.44739147284764003</v>
      </c>
      <c r="X19" s="15">
        <f t="shared" si="13"/>
        <v>84272</v>
      </c>
      <c r="Y19" s="13"/>
      <c r="Z19" s="13"/>
    </row>
    <row r="20" spans="1:26" ht="39.950000000000003" customHeight="1">
      <c r="A20" s="23" t="s">
        <v>27</v>
      </c>
      <c r="B20" s="15">
        <v>45767</v>
      </c>
      <c r="C20" s="15">
        <f>37869-775+9-10872+9</f>
        <v>26240</v>
      </c>
      <c r="D20" s="15">
        <f>O28</f>
        <v>22073</v>
      </c>
      <c r="E20" s="15">
        <v>22073</v>
      </c>
      <c r="F20" s="15">
        <f>22073-F21</f>
        <v>21393</v>
      </c>
      <c r="G20" s="15">
        <f>22073-G21</f>
        <v>21393</v>
      </c>
      <c r="H20" s="15">
        <f>22073-H21</f>
        <v>14444</v>
      </c>
      <c r="I20" s="20">
        <f t="shared" si="6"/>
        <v>-0.32482587762352166</v>
      </c>
      <c r="J20" s="15">
        <f t="shared" si="7"/>
        <v>-6949</v>
      </c>
      <c r="K20" s="20">
        <f t="shared" si="2"/>
        <v>-0.44954268292682931</v>
      </c>
      <c r="L20" s="15">
        <f t="shared" si="3"/>
        <v>-11796</v>
      </c>
      <c r="M20" s="21" t="s">
        <v>28</v>
      </c>
      <c r="N20" s="15">
        <f>B14</f>
        <v>128412</v>
      </c>
      <c r="O20" s="15">
        <f>103425-2773+47</f>
        <v>100699</v>
      </c>
      <c r="P20" s="15">
        <f t="shared" si="24"/>
        <v>130000</v>
      </c>
      <c r="Q20" s="15">
        <f t="shared" si="24"/>
        <v>130000</v>
      </c>
      <c r="R20" s="15">
        <f>53737-R24-R22</f>
        <v>43653</v>
      </c>
      <c r="S20" s="15">
        <f>R20+30000</f>
        <v>73653</v>
      </c>
      <c r="T20" s="15">
        <f>97319-T22-T24-T25+5355+245</f>
        <v>76393</v>
      </c>
      <c r="U20" s="20">
        <f t="shared" si="10"/>
        <v>3.7201471766255212E-2</v>
      </c>
      <c r="V20" s="15">
        <f t="shared" si="11"/>
        <v>2740</v>
      </c>
      <c r="W20" s="20">
        <f t="shared" si="12"/>
        <v>-0.24137280409934558</v>
      </c>
      <c r="X20" s="15">
        <f t="shared" si="13"/>
        <v>-24306</v>
      </c>
      <c r="Y20" s="13"/>
    </row>
    <row r="21" spans="1:26" ht="39.950000000000003" customHeight="1">
      <c r="A21" s="21" t="s">
        <v>29</v>
      </c>
      <c r="B21" s="15">
        <v>0</v>
      </c>
      <c r="C21" s="15">
        <f>7237+652+11638</f>
        <v>19527</v>
      </c>
      <c r="D21" s="15"/>
      <c r="E21" s="15"/>
      <c r="F21" s="15">
        <v>680</v>
      </c>
      <c r="G21" s="15">
        <f>680</f>
        <v>680</v>
      </c>
      <c r="H21" s="15">
        <f>680+6949</f>
        <v>7629</v>
      </c>
      <c r="I21" s="20">
        <f t="shared" si="6"/>
        <v>10.219117647058823</v>
      </c>
      <c r="J21" s="15">
        <f t="shared" si="7"/>
        <v>6949</v>
      </c>
      <c r="K21" s="20">
        <f t="shared" si="2"/>
        <v>-0.60931018589645114</v>
      </c>
      <c r="L21" s="15">
        <f t="shared" si="3"/>
        <v>-11898</v>
      </c>
      <c r="M21" s="18" t="s">
        <v>30</v>
      </c>
      <c r="N21" s="15" t="e">
        <f>B19</f>
        <v>#REF!</v>
      </c>
      <c r="O21" s="15">
        <f>23606+9-47</f>
        <v>23568</v>
      </c>
      <c r="P21" s="15">
        <f>D19</f>
        <v>22073</v>
      </c>
      <c r="Q21" s="15">
        <f>E19</f>
        <v>22073</v>
      </c>
      <c r="R21" s="15">
        <v>10584</v>
      </c>
      <c r="S21" s="15">
        <f>R21+500</f>
        <v>11084</v>
      </c>
      <c r="T21" s="15">
        <v>14216</v>
      </c>
      <c r="U21" s="20">
        <f t="shared" si="10"/>
        <v>0.28256946950559358</v>
      </c>
      <c r="V21" s="15">
        <f t="shared" si="11"/>
        <v>3132</v>
      </c>
      <c r="W21" s="20">
        <f t="shared" si="12"/>
        <v>-0.39680923285811265</v>
      </c>
      <c r="X21" s="15">
        <f t="shared" si="13"/>
        <v>-9352</v>
      </c>
      <c r="Y21" s="13"/>
      <c r="Z21" s="13"/>
    </row>
    <row r="22" spans="1:26" ht="39.950000000000003" customHeight="1">
      <c r="A22" s="17" t="s">
        <v>31</v>
      </c>
      <c r="B22" s="15">
        <v>32087</v>
      </c>
      <c r="C22" s="15">
        <v>31191</v>
      </c>
      <c r="D22" s="15"/>
      <c r="E22" s="15"/>
      <c r="F22" s="15"/>
      <c r="G22" s="15"/>
      <c r="H22" s="15"/>
      <c r="I22" s="20"/>
      <c r="J22" s="15">
        <f t="shared" si="7"/>
        <v>0</v>
      </c>
      <c r="K22" s="20">
        <f t="shared" si="2"/>
        <v>-1</v>
      </c>
      <c r="L22" s="15">
        <f t="shared" si="3"/>
        <v>-31191</v>
      </c>
      <c r="M22" s="18" t="s">
        <v>102</v>
      </c>
      <c r="N22" s="15">
        <f>B16</f>
        <v>2773</v>
      </c>
      <c r="O22" s="15">
        <f>2497+276</f>
        <v>2773</v>
      </c>
      <c r="P22" s="15">
        <f>D16</f>
        <v>3984</v>
      </c>
      <c r="Q22" s="15">
        <f>E16</f>
        <v>3984</v>
      </c>
      <c r="R22" s="15">
        <v>84</v>
      </c>
      <c r="S22" s="15">
        <f>G16</f>
        <v>3984</v>
      </c>
      <c r="T22" s="297">
        <f>H16</f>
        <v>3984</v>
      </c>
      <c r="U22" s="20">
        <f t="shared" si="10"/>
        <v>0</v>
      </c>
      <c r="V22" s="15">
        <f t="shared" si="11"/>
        <v>0</v>
      </c>
      <c r="W22" s="20">
        <f t="shared" si="12"/>
        <v>0.43671114316624604</v>
      </c>
      <c r="X22" s="15">
        <f t="shared" si="13"/>
        <v>1211</v>
      </c>
      <c r="Y22" s="13"/>
    </row>
    <row r="23" spans="1:26" ht="66" customHeight="1">
      <c r="A23" s="17" t="s">
        <v>597</v>
      </c>
      <c r="B23" s="15"/>
      <c r="C23" s="15">
        <v>5085</v>
      </c>
      <c r="D23" s="15"/>
      <c r="E23" s="15"/>
      <c r="F23" s="15"/>
      <c r="G23" s="15"/>
      <c r="H23" s="15">
        <v>9673</v>
      </c>
      <c r="I23" s="20"/>
      <c r="J23" s="15">
        <f t="shared" si="7"/>
        <v>9673</v>
      </c>
      <c r="K23" s="20">
        <f t="shared" si="2"/>
        <v>0.9022615535889873</v>
      </c>
      <c r="L23" s="15">
        <f t="shared" si="3"/>
        <v>4588</v>
      </c>
      <c r="M23" s="18" t="s">
        <v>32</v>
      </c>
      <c r="N23" s="15"/>
      <c r="O23" s="15"/>
      <c r="P23" s="15">
        <v>2231</v>
      </c>
      <c r="Q23" s="15">
        <v>2231</v>
      </c>
      <c r="R23" s="15"/>
      <c r="S23" s="15">
        <v>2231</v>
      </c>
      <c r="T23" s="297">
        <v>2231</v>
      </c>
      <c r="U23" s="20">
        <f t="shared" si="10"/>
        <v>0</v>
      </c>
      <c r="V23" s="15">
        <f t="shared" si="11"/>
        <v>0</v>
      </c>
      <c r="W23" s="20"/>
      <c r="X23" s="15">
        <f t="shared" si="13"/>
        <v>2231</v>
      </c>
      <c r="Y23" s="13"/>
      <c r="Z23" s="13" t="s">
        <v>585</v>
      </c>
    </row>
    <row r="24" spans="1:26" ht="39.950000000000003" customHeight="1">
      <c r="A24" s="17"/>
      <c r="B24" s="15"/>
      <c r="C24" s="15"/>
      <c r="D24" s="15"/>
      <c r="E24" s="15"/>
      <c r="F24" s="15"/>
      <c r="G24" s="15"/>
      <c r="H24" s="15"/>
      <c r="I24" s="20"/>
      <c r="J24" s="15"/>
      <c r="K24" s="20"/>
      <c r="L24" s="15"/>
      <c r="M24" s="18" t="s">
        <v>33</v>
      </c>
      <c r="N24" s="15">
        <f>B17</f>
        <v>10000</v>
      </c>
      <c r="O24" s="15">
        <v>10000</v>
      </c>
      <c r="P24" s="15">
        <f>D17</f>
        <v>10000</v>
      </c>
      <c r="Q24" s="15">
        <f>E17</f>
        <v>10000</v>
      </c>
      <c r="R24" s="15">
        <f>F17</f>
        <v>10000</v>
      </c>
      <c r="S24" s="15">
        <f>G17</f>
        <v>10000</v>
      </c>
      <c r="T24" s="15">
        <f>H17</f>
        <v>10000</v>
      </c>
      <c r="U24" s="20">
        <f t="shared" si="10"/>
        <v>0</v>
      </c>
      <c r="V24" s="15">
        <f t="shared" si="11"/>
        <v>0</v>
      </c>
      <c r="W24" s="20">
        <f t="shared" si="12"/>
        <v>0</v>
      </c>
      <c r="X24" s="15">
        <f t="shared" si="13"/>
        <v>0</v>
      </c>
      <c r="Y24" s="13"/>
    </row>
    <row r="25" spans="1:26" ht="39.950000000000003" customHeight="1">
      <c r="A25" s="17"/>
      <c r="B25" s="15"/>
      <c r="C25" s="15"/>
      <c r="D25" s="15"/>
      <c r="E25" s="15"/>
      <c r="F25" s="15"/>
      <c r="G25" s="15"/>
      <c r="H25" s="15"/>
      <c r="I25" s="20"/>
      <c r="J25" s="15">
        <f t="shared" si="7"/>
        <v>0</v>
      </c>
      <c r="K25" s="20"/>
      <c r="L25" s="15">
        <f t="shared" ref="L25:L36" si="25">H25-C25</f>
        <v>0</v>
      </c>
      <c r="M25" s="18" t="s">
        <v>77</v>
      </c>
      <c r="N25" s="15"/>
      <c r="O25" s="15"/>
      <c r="P25" s="15"/>
      <c r="Q25" s="15"/>
      <c r="R25" s="15"/>
      <c r="S25" s="15"/>
      <c r="T25" s="15">
        <v>12542</v>
      </c>
      <c r="U25" s="20"/>
      <c r="V25" s="15"/>
      <c r="W25" s="20"/>
      <c r="X25" s="15"/>
      <c r="Y25" s="13"/>
    </row>
    <row r="26" spans="1:26" ht="39.950000000000003" customHeight="1">
      <c r="A26" s="17"/>
      <c r="B26" s="15"/>
      <c r="C26" s="15"/>
      <c r="D26" s="15"/>
      <c r="E26" s="15"/>
      <c r="F26" s="15"/>
      <c r="G26" s="15"/>
      <c r="H26" s="15"/>
      <c r="I26" s="20"/>
      <c r="J26" s="15">
        <f t="shared" si="7"/>
        <v>0</v>
      </c>
      <c r="K26" s="20"/>
      <c r="L26" s="15">
        <f t="shared" si="25"/>
        <v>0</v>
      </c>
      <c r="M26" s="18" t="s">
        <v>78</v>
      </c>
      <c r="N26" s="15"/>
      <c r="O26" s="15">
        <v>715</v>
      </c>
      <c r="P26" s="15">
        <v>2420</v>
      </c>
      <c r="Q26" s="15">
        <v>2420</v>
      </c>
      <c r="R26" s="15">
        <v>2125</v>
      </c>
      <c r="S26" s="15">
        <v>2125</v>
      </c>
      <c r="T26" s="297">
        <v>2125</v>
      </c>
      <c r="U26" s="20">
        <f t="shared" si="10"/>
        <v>0</v>
      </c>
      <c r="V26" s="15">
        <f t="shared" si="11"/>
        <v>0</v>
      </c>
      <c r="W26" s="20">
        <f t="shared" si="12"/>
        <v>1.9720279720279721</v>
      </c>
      <c r="X26" s="15">
        <f t="shared" si="13"/>
        <v>1410</v>
      </c>
      <c r="Y26" s="13"/>
      <c r="Z26" s="13"/>
    </row>
    <row r="27" spans="1:26" ht="39.950000000000003" customHeight="1">
      <c r="A27" s="17"/>
      <c r="B27" s="15"/>
      <c r="C27" s="15"/>
      <c r="D27" s="15"/>
      <c r="E27" s="15"/>
      <c r="F27" s="15"/>
      <c r="G27" s="15"/>
      <c r="H27" s="15"/>
      <c r="I27" s="20"/>
      <c r="J27" s="15">
        <f t="shared" si="7"/>
        <v>0</v>
      </c>
      <c r="K27" s="20"/>
      <c r="L27" s="15">
        <f t="shared" si="25"/>
        <v>0</v>
      </c>
      <c r="M27" s="18" t="s">
        <v>79</v>
      </c>
      <c r="N27" s="15">
        <f>9768+12846</f>
        <v>22614</v>
      </c>
      <c r="O27" s="15">
        <f>27119-535</f>
        <v>26584</v>
      </c>
      <c r="P27" s="15">
        <v>26026</v>
      </c>
      <c r="Q27" s="15">
        <v>26026</v>
      </c>
      <c r="R27" s="15">
        <v>25775</v>
      </c>
      <c r="S27" s="15">
        <v>25775</v>
      </c>
      <c r="T27" s="15">
        <v>28005</v>
      </c>
      <c r="U27" s="20">
        <f t="shared" si="10"/>
        <v>8.6517943743937842E-2</v>
      </c>
      <c r="V27" s="15">
        <f t="shared" si="11"/>
        <v>2230</v>
      </c>
      <c r="W27" s="20">
        <f t="shared" si="12"/>
        <v>5.345320493529937E-2</v>
      </c>
      <c r="X27" s="15">
        <f t="shared" si="13"/>
        <v>1421</v>
      </c>
      <c r="Y27" s="13"/>
    </row>
    <row r="28" spans="1:26" ht="39.950000000000003" customHeight="1">
      <c r="A28" s="17"/>
      <c r="B28" s="15"/>
      <c r="C28" s="15"/>
      <c r="D28" s="15"/>
      <c r="E28" s="15"/>
      <c r="F28" s="15"/>
      <c r="G28" s="15"/>
      <c r="H28" s="15"/>
      <c r="I28" s="20"/>
      <c r="J28" s="15">
        <f t="shared" si="7"/>
        <v>0</v>
      </c>
      <c r="K28" s="20"/>
      <c r="L28" s="15">
        <f t="shared" si="25"/>
        <v>0</v>
      </c>
      <c r="M28" s="18" t="s">
        <v>80</v>
      </c>
      <c r="N28" s="15" t="e">
        <f t="shared" ref="N28:S28" si="26">SUM(N29:N31)</f>
        <v>#REF!</v>
      </c>
      <c r="O28" s="15">
        <f t="shared" si="26"/>
        <v>22073</v>
      </c>
      <c r="P28" s="15">
        <f t="shared" si="26"/>
        <v>0</v>
      </c>
      <c r="Q28" s="15">
        <f t="shared" si="26"/>
        <v>0</v>
      </c>
      <c r="R28" s="15">
        <f t="shared" si="26"/>
        <v>137395</v>
      </c>
      <c r="S28" s="15">
        <f t="shared" si="26"/>
        <v>46895</v>
      </c>
      <c r="T28" s="15">
        <f t="shared" ref="T28" si="27">SUM(T29:T31)</f>
        <v>12058</v>
      </c>
      <c r="U28" s="20">
        <f t="shared" si="10"/>
        <v>-0.74287237445356646</v>
      </c>
      <c r="V28" s="15">
        <f t="shared" si="11"/>
        <v>-34837</v>
      </c>
      <c r="W28" s="20">
        <f t="shared" si="12"/>
        <v>-0.45372174149413314</v>
      </c>
      <c r="X28" s="15">
        <f t="shared" si="13"/>
        <v>-10015</v>
      </c>
      <c r="Y28" s="13"/>
      <c r="Z28" s="13"/>
    </row>
    <row r="29" spans="1:26" ht="39.950000000000003" customHeight="1">
      <c r="A29" s="17"/>
      <c r="B29" s="15"/>
      <c r="C29" s="15"/>
      <c r="D29" s="15"/>
      <c r="E29" s="15"/>
      <c r="F29" s="15"/>
      <c r="G29" s="15"/>
      <c r="H29" s="15"/>
      <c r="I29" s="20"/>
      <c r="J29" s="15">
        <f t="shared" si="7"/>
        <v>0</v>
      </c>
      <c r="K29" s="20"/>
      <c r="L29" s="15">
        <f t="shared" si="25"/>
        <v>0</v>
      </c>
      <c r="M29" s="21" t="s">
        <v>34</v>
      </c>
      <c r="N29" s="15">
        <f>B13-N19</f>
        <v>0</v>
      </c>
      <c r="O29" s="15">
        <f>C13-O19</f>
        <v>9687</v>
      </c>
      <c r="P29" s="15"/>
      <c r="Q29" s="15"/>
      <c r="R29" s="15">
        <f t="shared" ref="R29:T30" si="28">F13-R19</f>
        <v>87603</v>
      </c>
      <c r="S29" s="15">
        <f t="shared" si="28"/>
        <v>27603</v>
      </c>
      <c r="T29" s="15">
        <f t="shared" si="28"/>
        <v>6373</v>
      </c>
      <c r="U29" s="20">
        <f t="shared" si="10"/>
        <v>-0.76911929862696082</v>
      </c>
      <c r="V29" s="15">
        <f t="shared" si="11"/>
        <v>-21230</v>
      </c>
      <c r="W29" s="20">
        <f t="shared" si="12"/>
        <v>-0.3421079797666976</v>
      </c>
      <c r="X29" s="15">
        <f t="shared" si="13"/>
        <v>-3314</v>
      </c>
      <c r="Y29" s="13"/>
    </row>
    <row r="30" spans="1:26" ht="39.950000000000003" customHeight="1">
      <c r="A30" s="17"/>
      <c r="B30" s="15"/>
      <c r="C30" s="15"/>
      <c r="D30" s="15"/>
      <c r="E30" s="15"/>
      <c r="F30" s="15"/>
      <c r="G30" s="15"/>
      <c r="H30" s="15"/>
      <c r="I30" s="20"/>
      <c r="J30" s="15">
        <f t="shared" si="7"/>
        <v>0</v>
      </c>
      <c r="K30" s="20"/>
      <c r="L30" s="15">
        <f t="shared" si="25"/>
        <v>0</v>
      </c>
      <c r="M30" s="21" t="s">
        <v>35</v>
      </c>
      <c r="N30" s="15">
        <f>B14-N20</f>
        <v>0</v>
      </c>
      <c r="O30" s="15">
        <f>C14-O20</f>
        <v>9714</v>
      </c>
      <c r="P30" s="15"/>
      <c r="Q30" s="15"/>
      <c r="R30" s="15">
        <f t="shared" si="28"/>
        <v>38983</v>
      </c>
      <c r="S30" s="15">
        <f t="shared" si="28"/>
        <v>8983</v>
      </c>
      <c r="T30" s="15">
        <f>H14-T20</f>
        <v>5457</v>
      </c>
      <c r="U30" s="20">
        <f t="shared" si="10"/>
        <v>-0.39251920293888454</v>
      </c>
      <c r="V30" s="15">
        <f t="shared" si="11"/>
        <v>-3526</v>
      </c>
      <c r="W30" s="20">
        <f t="shared" si="12"/>
        <v>-0.43823347745521923</v>
      </c>
      <c r="X30" s="15">
        <f t="shared" si="13"/>
        <v>-4257</v>
      </c>
      <c r="Y30" s="13"/>
      <c r="Z30" s="13"/>
    </row>
    <row r="31" spans="1:26" ht="39.950000000000003" customHeight="1">
      <c r="A31" s="17"/>
      <c r="B31" s="15"/>
      <c r="C31" s="15"/>
      <c r="D31" s="15"/>
      <c r="E31" s="15"/>
      <c r="F31" s="15"/>
      <c r="G31" s="15"/>
      <c r="H31" s="15"/>
      <c r="I31" s="20"/>
      <c r="J31" s="15">
        <f t="shared" si="7"/>
        <v>0</v>
      </c>
      <c r="K31" s="20"/>
      <c r="L31" s="15">
        <f t="shared" si="25"/>
        <v>0</v>
      </c>
      <c r="M31" s="21" t="s">
        <v>36</v>
      </c>
      <c r="N31" s="15" t="e">
        <f>B20+#REF!-N21</f>
        <v>#REF!</v>
      </c>
      <c r="O31" s="15">
        <f>C20-O21</f>
        <v>2672</v>
      </c>
      <c r="P31" s="15"/>
      <c r="Q31" s="15"/>
      <c r="R31" s="15">
        <f>F20-R21</f>
        <v>10809</v>
      </c>
      <c r="S31" s="15">
        <f>G20-S21</f>
        <v>10309</v>
      </c>
      <c r="T31" s="15">
        <f>H20-T21</f>
        <v>228</v>
      </c>
      <c r="U31" s="20">
        <f t="shared" si="10"/>
        <v>-0.97788340285187703</v>
      </c>
      <c r="V31" s="15">
        <f t="shared" si="11"/>
        <v>-10081</v>
      </c>
      <c r="W31" s="20">
        <f t="shared" si="12"/>
        <v>-0.91467065868263475</v>
      </c>
      <c r="X31" s="15">
        <f t="shared" si="13"/>
        <v>-2444</v>
      </c>
      <c r="Y31" s="13"/>
      <c r="Z31" s="13"/>
    </row>
    <row r="32" spans="1:26" ht="39.950000000000003" customHeight="1">
      <c r="A32" s="17"/>
      <c r="B32" s="15"/>
      <c r="C32" s="15"/>
      <c r="D32" s="15"/>
      <c r="E32" s="15"/>
      <c r="F32" s="15"/>
      <c r="G32" s="15"/>
      <c r="H32" s="15"/>
      <c r="I32" s="20"/>
      <c r="J32" s="15">
        <f t="shared" si="7"/>
        <v>0</v>
      </c>
      <c r="K32" s="20"/>
      <c r="L32" s="15">
        <f t="shared" si="25"/>
        <v>0</v>
      </c>
      <c r="M32" s="293" t="s">
        <v>37</v>
      </c>
      <c r="N32" s="28" t="e">
        <f t="shared" ref="N32:S32" si="29">N6+N18+N21+N24</f>
        <v>#REF!</v>
      </c>
      <c r="O32" s="28">
        <f t="shared" si="29"/>
        <v>600544</v>
      </c>
      <c r="P32" s="28">
        <f t="shared" si="29"/>
        <v>694393</v>
      </c>
      <c r="Q32" s="28">
        <f t="shared" si="29"/>
        <v>694393</v>
      </c>
      <c r="R32" s="28">
        <f t="shared" si="29"/>
        <v>518227</v>
      </c>
      <c r="S32" s="28">
        <f t="shared" si="29"/>
        <v>645106</v>
      </c>
      <c r="T32" s="28">
        <f>T6+T18+T21+T24+T25</f>
        <v>659274</v>
      </c>
      <c r="U32" s="20">
        <f t="shared" si="10"/>
        <v>2.1962282167581781E-2</v>
      </c>
      <c r="V32" s="15">
        <f t="shared" si="11"/>
        <v>14168</v>
      </c>
      <c r="W32" s="20">
        <f t="shared" si="12"/>
        <v>9.779466616933985E-2</v>
      </c>
      <c r="X32" s="15">
        <f t="shared" si="13"/>
        <v>58730</v>
      </c>
      <c r="Y32" s="13"/>
      <c r="Z32" s="13">
        <v>667614</v>
      </c>
    </row>
    <row r="33" spans="1:26" ht="39.950000000000003" customHeight="1">
      <c r="A33" s="25" t="s">
        <v>38</v>
      </c>
      <c r="B33" s="26" t="e">
        <f>B6+B11+#REF!+B18+B21+B22+B15+B23</f>
        <v>#REF!</v>
      </c>
      <c r="C33" s="26">
        <f t="shared" ref="C33:F33" si="30">C6+C11+C18+C21+C22+C15+C23</f>
        <v>259598.66999999998</v>
      </c>
      <c r="D33" s="26">
        <f t="shared" si="30"/>
        <v>230727</v>
      </c>
      <c r="E33" s="26">
        <f t="shared" si="30"/>
        <v>230727</v>
      </c>
      <c r="F33" s="26">
        <f t="shared" si="30"/>
        <v>205815</v>
      </c>
      <c r="G33" s="26">
        <f>G6+G11+G18+G21+G22+G15+G23</f>
        <v>214331</v>
      </c>
      <c r="H33" s="26">
        <f>H6+H11+H21+H22+H15+H23</f>
        <v>220292</v>
      </c>
      <c r="I33" s="20">
        <f t="shared" si="6"/>
        <v>2.7812122371472237E-2</v>
      </c>
      <c r="J33" s="15">
        <f t="shared" si="7"/>
        <v>5961</v>
      </c>
      <c r="K33" s="20">
        <f>H33/C33-1</f>
        <v>-0.15141321794907492</v>
      </c>
      <c r="L33" s="15">
        <f t="shared" si="25"/>
        <v>-39306.669999999984</v>
      </c>
      <c r="M33" s="25" t="s">
        <v>39</v>
      </c>
      <c r="N33" s="26">
        <f t="shared" ref="N33:S33" si="31">N6+N23+N27+N26</f>
        <v>325564</v>
      </c>
      <c r="O33" s="28">
        <f t="shared" si="31"/>
        <v>305213</v>
      </c>
      <c r="P33" s="26">
        <f t="shared" si="31"/>
        <v>362997</v>
      </c>
      <c r="Q33" s="26">
        <f t="shared" si="31"/>
        <v>362997</v>
      </c>
      <c r="R33" s="26">
        <f t="shared" si="31"/>
        <v>273841</v>
      </c>
      <c r="S33" s="26">
        <f t="shared" si="31"/>
        <v>312451</v>
      </c>
      <c r="T33" s="26">
        <f>T6+T23+T27+T26</f>
        <v>305849</v>
      </c>
      <c r="U33" s="20">
        <f t="shared" si="10"/>
        <v>-2.1129713139020234E-2</v>
      </c>
      <c r="V33" s="15">
        <f t="shared" si="11"/>
        <v>-6602</v>
      </c>
      <c r="W33" s="20">
        <f t="shared" si="12"/>
        <v>2.083790664224594E-3</v>
      </c>
      <c r="X33" s="15">
        <f t="shared" si="13"/>
        <v>636</v>
      </c>
      <c r="Y33" s="13"/>
      <c r="Z33" s="13">
        <f>Z32-T32</f>
        <v>8340</v>
      </c>
    </row>
    <row r="34" spans="1:26" ht="39.950000000000003" customHeight="1">
      <c r="A34" s="25" t="s">
        <v>40</v>
      </c>
      <c r="B34" s="26" t="e">
        <f t="shared" ref="B34:F34" si="32">B6+B11+B12+B16+B17+B18+B19+B22+B23</f>
        <v>#REF!</v>
      </c>
      <c r="C34" s="26">
        <f t="shared" si="32"/>
        <v>607074.66999999993</v>
      </c>
      <c r="D34" s="26">
        <f t="shared" si="32"/>
        <v>596784</v>
      </c>
      <c r="E34" s="26">
        <f t="shared" si="32"/>
        <v>596784</v>
      </c>
      <c r="F34" s="26">
        <f t="shared" si="32"/>
        <v>619480</v>
      </c>
      <c r="G34" s="26">
        <f>G6+G11+G12+G16+G17+G18+G19+G22+G23</f>
        <v>627996</v>
      </c>
      <c r="H34" s="26">
        <f>H6+H11+H12+H16+H17+H18+H19+H22+H23</f>
        <v>622120</v>
      </c>
      <c r="I34" s="20">
        <f t="shared" si="6"/>
        <v>-9.3567474952069851E-3</v>
      </c>
      <c r="J34" s="15">
        <f t="shared" si="7"/>
        <v>-5876</v>
      </c>
      <c r="K34" s="20">
        <f>H34/C34-1</f>
        <v>2.4783326901120839E-2</v>
      </c>
      <c r="L34" s="15">
        <f t="shared" si="25"/>
        <v>15045.330000000075</v>
      </c>
      <c r="M34" s="25" t="s">
        <v>41</v>
      </c>
      <c r="N34" s="26" t="e">
        <f>N6+N18+N21+N24+N22+N27+N28</f>
        <v>#REF!</v>
      </c>
      <c r="O34" s="26">
        <f>O6+O18+O21+O24+O22+O26+O27+O28</f>
        <v>652689</v>
      </c>
      <c r="P34" s="26">
        <f>P6+P18+P21+P23+P24+P22+P26+P27+P28</f>
        <v>729054</v>
      </c>
      <c r="Q34" s="26">
        <f>Q6+Q18+Q21+Q23+Q24+Q22+Q26+Q27+Q28</f>
        <v>729054</v>
      </c>
      <c r="R34" s="26">
        <f>R6+R18+R21+R23+R24+R22+R26+R27+R28</f>
        <v>683606</v>
      </c>
      <c r="S34" s="26">
        <f>S6+S18+S21+S23+S24+S22+S26+S27+S28</f>
        <v>726116</v>
      </c>
      <c r="T34" s="26">
        <f>T6+T18+T21+T23+T24+T22+T26+T27+T28+T25</f>
        <v>707677</v>
      </c>
      <c r="U34" s="20">
        <f t="shared" si="10"/>
        <v>-2.539401417955256E-2</v>
      </c>
      <c r="V34" s="15">
        <f t="shared" si="11"/>
        <v>-18439</v>
      </c>
      <c r="W34" s="20">
        <f t="shared" si="12"/>
        <v>8.4248393951790179E-2</v>
      </c>
      <c r="X34" s="15">
        <f t="shared" si="13"/>
        <v>54988</v>
      </c>
      <c r="Y34" s="13"/>
    </row>
    <row r="35" spans="1:26" ht="39.950000000000003" customHeight="1">
      <c r="A35" s="25" t="s">
        <v>42</v>
      </c>
      <c r="B35" s="26"/>
      <c r="C35" s="26">
        <f>-O35-C36</f>
        <v>8899.3300000000745</v>
      </c>
      <c r="D35" s="26">
        <f>-P35-D36+P36</f>
        <v>0</v>
      </c>
      <c r="E35" s="26">
        <f>-Q35-E36+Q36</f>
        <v>0</v>
      </c>
      <c r="F35" s="26">
        <f>-R35-F36+R36</f>
        <v>0</v>
      </c>
      <c r="G35" s="26">
        <v>38895</v>
      </c>
      <c r="H35" s="26">
        <v>17347</v>
      </c>
      <c r="I35" s="20">
        <f t="shared" si="6"/>
        <v>-0.55400437074174058</v>
      </c>
      <c r="J35" s="15">
        <f t="shared" si="7"/>
        <v>-21548</v>
      </c>
      <c r="K35" s="20">
        <f>H35/C35-1</f>
        <v>0.94924786472687894</v>
      </c>
      <c r="L35" s="15">
        <f t="shared" si="25"/>
        <v>8447.6699999999255</v>
      </c>
      <c r="M35" s="293" t="s">
        <v>43</v>
      </c>
      <c r="N35" s="26" t="e">
        <f>B34-N34</f>
        <v>#REF!</v>
      </c>
      <c r="O35" s="29">
        <f>C34-O34</f>
        <v>-45614.330000000075</v>
      </c>
      <c r="P35" s="29">
        <f t="shared" ref="P35:T35" si="33">D34-P34</f>
        <v>-132270</v>
      </c>
      <c r="Q35" s="29">
        <f t="shared" si="33"/>
        <v>-132270</v>
      </c>
      <c r="R35" s="29">
        <f t="shared" si="33"/>
        <v>-64126</v>
      </c>
      <c r="S35" s="29">
        <f t="shared" si="33"/>
        <v>-98120</v>
      </c>
      <c r="T35" s="29">
        <f t="shared" si="33"/>
        <v>-85557</v>
      </c>
      <c r="U35" s="20">
        <f t="shared" si="10"/>
        <v>-0.12803709743171632</v>
      </c>
      <c r="V35" s="15">
        <f t="shared" si="11"/>
        <v>12563</v>
      </c>
      <c r="W35" s="20">
        <f t="shared" si="12"/>
        <v>0.87566056544072568</v>
      </c>
      <c r="X35" s="15">
        <f t="shared" si="13"/>
        <v>-39942.669999999925</v>
      </c>
      <c r="Y35" s="13"/>
    </row>
    <row r="36" spans="1:26" ht="39.950000000000003" customHeight="1">
      <c r="A36" s="25" t="s">
        <v>44</v>
      </c>
      <c r="B36" s="26">
        <v>62579</v>
      </c>
      <c r="C36" s="26">
        <f>基金收支平衡表!O23</f>
        <v>36715</v>
      </c>
      <c r="D36" s="26">
        <f>基金收支平衡表!P23</f>
        <v>132270</v>
      </c>
      <c r="E36" s="26">
        <f>基金收支平衡表!Q23</f>
        <v>132270</v>
      </c>
      <c r="F36" s="26">
        <f>基金收支平衡表!R23</f>
        <v>52372</v>
      </c>
      <c r="G36" s="26">
        <f>基金收支平衡表!S23</f>
        <v>59225</v>
      </c>
      <c r="H36" s="26">
        <f>基金收支平衡表!T23</f>
        <v>68210</v>
      </c>
      <c r="I36" s="20">
        <f t="shared" si="6"/>
        <v>0.1517095821021528</v>
      </c>
      <c r="J36" s="15">
        <f t="shared" si="7"/>
        <v>8985</v>
      </c>
      <c r="K36" s="20">
        <f>H36/C36-1</f>
        <v>0.85782377774751462</v>
      </c>
      <c r="L36" s="15">
        <f t="shared" si="25"/>
        <v>31495</v>
      </c>
      <c r="M36" s="25" t="s">
        <v>45</v>
      </c>
      <c r="N36" s="26"/>
      <c r="O36" s="26">
        <f>C35+C36+O35</f>
        <v>0</v>
      </c>
      <c r="P36" s="26">
        <f>D36+P35</f>
        <v>0</v>
      </c>
      <c r="Q36" s="26">
        <f>E36+Q35</f>
        <v>0</v>
      </c>
      <c r="R36" s="26">
        <f>F36+R35</f>
        <v>-11754</v>
      </c>
      <c r="S36" s="26">
        <f>G36+S35+G35</f>
        <v>0</v>
      </c>
      <c r="T36" s="26">
        <f>H36+T35+H35</f>
        <v>0</v>
      </c>
      <c r="U36" s="20"/>
      <c r="V36" s="15">
        <f t="shared" si="11"/>
        <v>0</v>
      </c>
      <c r="W36" s="20"/>
      <c r="X36" s="15">
        <f t="shared" si="13"/>
        <v>0</v>
      </c>
    </row>
    <row r="39" spans="1:26">
      <c r="O39" s="13"/>
      <c r="P39" s="13"/>
      <c r="Q39" s="13"/>
      <c r="R39" s="13"/>
      <c r="S39" s="14">
        <f>S28/S32</f>
        <v>7.2693479831221541E-2</v>
      </c>
      <c r="T39" s="296">
        <f>T28/T32</f>
        <v>1.8289815767040713E-2</v>
      </c>
    </row>
    <row r="40" spans="1:26">
      <c r="O40" s="13"/>
      <c r="P40" s="13"/>
      <c r="Q40" s="13"/>
      <c r="R40" s="13"/>
      <c r="S40" s="13"/>
      <c r="T40" s="295"/>
    </row>
    <row r="41" spans="1:26">
      <c r="I41" s="13"/>
      <c r="O41" s="13"/>
    </row>
    <row r="42" spans="1:26">
      <c r="C42" s="12"/>
      <c r="G42" s="13"/>
      <c r="H42" s="295"/>
      <c r="I42" s="13"/>
      <c r="O42" s="13"/>
      <c r="P42" s="13"/>
      <c r="Q42" s="13"/>
      <c r="R42" s="13"/>
      <c r="S42" s="13"/>
      <c r="T42" s="295"/>
    </row>
    <row r="43" spans="1:26">
      <c r="H43" s="295"/>
      <c r="I43" s="13"/>
      <c r="O43" s="13"/>
      <c r="P43" s="13"/>
      <c r="Q43" s="13"/>
      <c r="R43" s="13"/>
      <c r="S43" s="13"/>
      <c r="T43" s="295"/>
      <c r="U43" s="13"/>
    </row>
    <row r="44" spans="1:26">
      <c r="C44" s="12"/>
      <c r="H44" s="295"/>
      <c r="I44" s="13"/>
      <c r="O44" s="13"/>
      <c r="P44" s="13"/>
      <c r="Q44" s="13"/>
      <c r="R44" s="13"/>
      <c r="S44" s="13"/>
      <c r="T44" s="295"/>
      <c r="U44" s="13"/>
    </row>
    <row r="45" spans="1:26">
      <c r="H45" s="295"/>
      <c r="O45" s="13"/>
      <c r="P45" s="13"/>
      <c r="Q45" s="13"/>
      <c r="R45" s="13"/>
      <c r="S45" s="13"/>
      <c r="T45" s="295"/>
    </row>
    <row r="46" spans="1:26">
      <c r="O46" s="13"/>
      <c r="P46" s="13"/>
      <c r="Q46" s="13"/>
      <c r="R46" s="13"/>
      <c r="S46" s="13"/>
      <c r="T46" s="295"/>
    </row>
    <row r="47" spans="1:26">
      <c r="O47" s="13"/>
      <c r="P47" s="13"/>
      <c r="Q47" s="13"/>
      <c r="R47" s="13"/>
      <c r="S47" s="13"/>
      <c r="T47" s="295"/>
    </row>
    <row r="48" spans="1:26">
      <c r="O48" s="13"/>
      <c r="P48" s="13"/>
      <c r="Q48" s="13"/>
      <c r="R48" s="13"/>
      <c r="S48" s="13"/>
      <c r="T48" s="295"/>
    </row>
    <row r="49" spans="15:22">
      <c r="T49" s="295"/>
      <c r="V49" s="13"/>
    </row>
    <row r="50" spans="15:22">
      <c r="O50" s="13"/>
      <c r="T50" s="295"/>
      <c r="V50" s="13"/>
    </row>
    <row r="54" spans="15:22">
      <c r="T54" s="295"/>
    </row>
    <row r="55" spans="15:22">
      <c r="T55" s="295"/>
    </row>
  </sheetData>
  <mergeCells count="4">
    <mergeCell ref="A4:L4"/>
    <mergeCell ref="A2:X2"/>
    <mergeCell ref="N3:X3"/>
    <mergeCell ref="M4:V4"/>
  </mergeCells>
  <phoneticPr fontId="5" type="noConversion"/>
  <printOptions horizontalCentered="1"/>
  <pageMargins left="0.47244094488188981" right="0.47244094488188981" top="0.59055118110236227" bottom="0.59055118110236227" header="0" footer="0.31496062992125984"/>
  <pageSetup paperSize="9" scale="54" fitToHeight="0" orientation="landscape"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L13"/>
  <sheetViews>
    <sheetView workbookViewId="0">
      <selection activeCell="P8" sqref="P8"/>
    </sheetView>
  </sheetViews>
  <sheetFormatPr defaultColWidth="9" defaultRowHeight="14.25"/>
  <cols>
    <col min="1" max="1" width="4.625" style="130" customWidth="1"/>
    <col min="2" max="2" width="16.375" style="131" customWidth="1"/>
    <col min="3" max="3" width="29.5" style="116" customWidth="1"/>
    <col min="4" max="5" width="9.875" style="117" customWidth="1"/>
    <col min="6" max="6" width="16.5" style="118" customWidth="1"/>
    <col min="7" max="7" width="13.375" style="132" hidden="1" customWidth="1"/>
    <col min="8" max="8" width="8.625" style="116" hidden="1" customWidth="1"/>
    <col min="9" max="9" width="16.5" style="132" customWidth="1"/>
    <col min="10" max="10" width="9.125" style="116" customWidth="1"/>
    <col min="11" max="11" width="13.375" style="116" hidden="1" customWidth="1"/>
    <col min="12" max="12" width="16.5" style="116" customWidth="1"/>
    <col min="13" max="16384" width="9" style="116"/>
  </cols>
  <sheetData>
    <row r="1" spans="1:12" ht="20.100000000000001" customHeight="1">
      <c r="A1" s="341" t="s">
        <v>593</v>
      </c>
      <c r="B1" s="341"/>
      <c r="C1" s="231"/>
      <c r="D1" s="232"/>
      <c r="E1" s="232"/>
      <c r="F1" s="233"/>
      <c r="G1" s="234"/>
      <c r="H1" s="231"/>
      <c r="I1" s="247"/>
      <c r="J1" s="231"/>
      <c r="K1" s="231"/>
      <c r="L1" s="231"/>
    </row>
    <row r="2" spans="1:12" s="246" customFormat="1" ht="35.1" customHeight="1">
      <c r="A2" s="337" t="s">
        <v>545</v>
      </c>
      <c r="B2" s="337"/>
      <c r="C2" s="337"/>
      <c r="D2" s="337"/>
      <c r="E2" s="337"/>
      <c r="F2" s="337"/>
      <c r="G2" s="337"/>
      <c r="H2" s="337"/>
      <c r="I2" s="337"/>
      <c r="J2" s="337"/>
      <c r="K2" s="337"/>
      <c r="L2" s="337"/>
    </row>
    <row r="3" spans="1:12" ht="20.100000000000001" customHeight="1">
      <c r="A3" s="235"/>
      <c r="B3" s="236"/>
      <c r="C3" s="237"/>
      <c r="D3" s="238"/>
      <c r="E3" s="238"/>
      <c r="F3" s="239"/>
      <c r="G3" s="240"/>
      <c r="H3" s="241"/>
      <c r="I3" s="241"/>
      <c r="J3" s="241"/>
      <c r="K3" s="242"/>
      <c r="L3" s="230" t="s">
        <v>0</v>
      </c>
    </row>
    <row r="4" spans="1:12" ht="24.95" customHeight="1">
      <c r="A4" s="338" t="s">
        <v>435</v>
      </c>
      <c r="B4" s="339" t="s">
        <v>436</v>
      </c>
      <c r="C4" s="340" t="s">
        <v>222</v>
      </c>
      <c r="D4" s="340" t="s">
        <v>437</v>
      </c>
      <c r="E4" s="340" t="s">
        <v>438</v>
      </c>
      <c r="F4" s="339" t="s">
        <v>439</v>
      </c>
      <c r="G4" s="342" t="s">
        <v>440</v>
      </c>
      <c r="H4" s="340"/>
      <c r="I4" s="342" t="s">
        <v>549</v>
      </c>
      <c r="J4" s="340"/>
      <c r="K4" s="339" t="s">
        <v>441</v>
      </c>
      <c r="L4" s="339" t="s">
        <v>548</v>
      </c>
    </row>
    <row r="5" spans="1:12" s="119" customFormat="1" ht="24.95" customHeight="1">
      <c r="A5" s="338"/>
      <c r="B5" s="339"/>
      <c r="C5" s="340"/>
      <c r="D5" s="340"/>
      <c r="E5" s="340"/>
      <c r="F5" s="338"/>
      <c r="G5" s="243" t="s">
        <v>442</v>
      </c>
      <c r="H5" s="244" t="s">
        <v>443</v>
      </c>
      <c r="I5" s="243" t="s">
        <v>442</v>
      </c>
      <c r="J5" s="244" t="s">
        <v>443</v>
      </c>
      <c r="K5" s="338"/>
      <c r="L5" s="338"/>
    </row>
    <row r="6" spans="1:12" s="122" customFormat="1" ht="34.5" customHeight="1">
      <c r="A6" s="334" t="s">
        <v>546</v>
      </c>
      <c r="B6" s="335"/>
      <c r="C6" s="335"/>
      <c r="D6" s="335"/>
      <c r="E6" s="336"/>
      <c r="F6" s="120">
        <f>SUM(F7:F13)</f>
        <v>120000</v>
      </c>
      <c r="G6" s="120">
        <f>SUM(G7:G13)</f>
        <v>120000</v>
      </c>
      <c r="H6" s="121">
        <f>G6/F6</f>
        <v>1</v>
      </c>
      <c r="I6" s="120">
        <f>SUM(I7:I13)</f>
        <v>97209.652667999995</v>
      </c>
      <c r="J6" s="121">
        <f>I6/F6</f>
        <v>0.81008043889999992</v>
      </c>
      <c r="K6" s="245" t="s">
        <v>547</v>
      </c>
      <c r="L6" s="120">
        <f>SUM(L7:L13)</f>
        <v>22790.347331999998</v>
      </c>
    </row>
    <row r="7" spans="1:12" s="122" customFormat="1" ht="35.1" customHeight="1">
      <c r="A7" s="123">
        <v>1</v>
      </c>
      <c r="B7" s="124" t="s">
        <v>444</v>
      </c>
      <c r="C7" s="125" t="s">
        <v>445</v>
      </c>
      <c r="D7" s="126" t="s">
        <v>446</v>
      </c>
      <c r="E7" s="126" t="s">
        <v>447</v>
      </c>
      <c r="F7" s="127">
        <v>2000</v>
      </c>
      <c r="G7" s="128">
        <v>2000</v>
      </c>
      <c r="H7" s="129">
        <v>1</v>
      </c>
      <c r="I7" s="128">
        <v>2000</v>
      </c>
      <c r="J7" s="129">
        <f t="shared" ref="J7:J11" si="0">I7/G7</f>
        <v>1</v>
      </c>
      <c r="K7" s="245" t="s">
        <v>541</v>
      </c>
      <c r="L7" s="245" t="s">
        <v>541</v>
      </c>
    </row>
    <row r="8" spans="1:12" s="122" customFormat="1" ht="54.95" customHeight="1">
      <c r="A8" s="123">
        <v>2</v>
      </c>
      <c r="B8" s="124" t="s">
        <v>448</v>
      </c>
      <c r="C8" s="125" t="s">
        <v>542</v>
      </c>
      <c r="D8" s="126" t="s">
        <v>446</v>
      </c>
      <c r="E8" s="126" t="s">
        <v>447</v>
      </c>
      <c r="F8" s="127">
        <v>80000</v>
      </c>
      <c r="G8" s="128">
        <v>80000</v>
      </c>
      <c r="H8" s="129">
        <f>G8/F8</f>
        <v>1</v>
      </c>
      <c r="I8" s="128">
        <f>35186+5000+5000+7023.652668+5000</f>
        <v>57209.652668000002</v>
      </c>
      <c r="J8" s="129">
        <f t="shared" si="0"/>
        <v>0.71512065835000005</v>
      </c>
      <c r="K8" s="245" t="s">
        <v>541</v>
      </c>
      <c r="L8" s="128">
        <f>F8-I8</f>
        <v>22790.347331999998</v>
      </c>
    </row>
    <row r="9" spans="1:12" s="122" customFormat="1" ht="35.1" customHeight="1">
      <c r="A9" s="123">
        <v>3</v>
      </c>
      <c r="B9" s="124" t="s">
        <v>434</v>
      </c>
      <c r="C9" s="125" t="s">
        <v>449</v>
      </c>
      <c r="D9" s="126" t="s">
        <v>446</v>
      </c>
      <c r="E9" s="126" t="s">
        <v>447</v>
      </c>
      <c r="F9" s="127">
        <v>3000</v>
      </c>
      <c r="G9" s="128">
        <v>3000</v>
      </c>
      <c r="H9" s="129">
        <v>1</v>
      </c>
      <c r="I9" s="128">
        <v>3000</v>
      </c>
      <c r="J9" s="129">
        <f t="shared" si="0"/>
        <v>1</v>
      </c>
      <c r="K9" s="245" t="s">
        <v>541</v>
      </c>
      <c r="L9" s="245" t="s">
        <v>541</v>
      </c>
    </row>
    <row r="10" spans="1:12" s="122" customFormat="1" ht="54.95" customHeight="1">
      <c r="A10" s="123">
        <v>4</v>
      </c>
      <c r="B10" s="124" t="s">
        <v>448</v>
      </c>
      <c r="C10" s="125" t="s">
        <v>450</v>
      </c>
      <c r="D10" s="126" t="s">
        <v>451</v>
      </c>
      <c r="E10" s="126" t="s">
        <v>452</v>
      </c>
      <c r="F10" s="127">
        <v>8000</v>
      </c>
      <c r="G10" s="128">
        <v>8000</v>
      </c>
      <c r="H10" s="129">
        <v>1</v>
      </c>
      <c r="I10" s="128">
        <v>8000</v>
      </c>
      <c r="J10" s="129">
        <f t="shared" si="0"/>
        <v>1</v>
      </c>
      <c r="K10" s="245" t="s">
        <v>541</v>
      </c>
      <c r="L10" s="245" t="s">
        <v>541</v>
      </c>
    </row>
    <row r="11" spans="1:12" s="122" customFormat="1" ht="35.1" customHeight="1">
      <c r="A11" s="123">
        <v>5</v>
      </c>
      <c r="B11" s="124" t="s">
        <v>453</v>
      </c>
      <c r="C11" s="125" t="s">
        <v>454</v>
      </c>
      <c r="D11" s="126" t="s">
        <v>451</v>
      </c>
      <c r="E11" s="126" t="s">
        <v>452</v>
      </c>
      <c r="F11" s="127">
        <v>2000</v>
      </c>
      <c r="G11" s="128">
        <v>2000</v>
      </c>
      <c r="H11" s="129">
        <v>1</v>
      </c>
      <c r="I11" s="128">
        <v>2000</v>
      </c>
      <c r="J11" s="129">
        <f t="shared" si="0"/>
        <v>1</v>
      </c>
      <c r="K11" s="245" t="s">
        <v>541</v>
      </c>
      <c r="L11" s="245" t="s">
        <v>541</v>
      </c>
    </row>
    <row r="12" spans="1:12" s="122" customFormat="1" ht="35.1" customHeight="1">
      <c r="A12" s="123">
        <v>6</v>
      </c>
      <c r="B12" s="124" t="s">
        <v>455</v>
      </c>
      <c r="C12" s="125" t="s">
        <v>543</v>
      </c>
      <c r="D12" s="126" t="s">
        <v>456</v>
      </c>
      <c r="E12" s="126" t="s">
        <v>447</v>
      </c>
      <c r="F12" s="127">
        <v>20000</v>
      </c>
      <c r="G12" s="128">
        <v>20000</v>
      </c>
      <c r="H12" s="129">
        <f>G12/F12</f>
        <v>1</v>
      </c>
      <c r="I12" s="128">
        <f>14640.229918+2984.326692+2090.321164+47.3752+30.006487+11.70477+28.136411+167.899358</f>
        <v>19999.999999999996</v>
      </c>
      <c r="J12" s="129">
        <f>I12/G12</f>
        <v>0.99999999999999978</v>
      </c>
      <c r="K12" s="245" t="s">
        <v>541</v>
      </c>
      <c r="L12" s="245" t="s">
        <v>541</v>
      </c>
    </row>
    <row r="13" spans="1:12" s="122" customFormat="1" ht="54.95" customHeight="1">
      <c r="A13" s="123">
        <v>7</v>
      </c>
      <c r="B13" s="124" t="s">
        <v>448</v>
      </c>
      <c r="C13" s="125" t="s">
        <v>544</v>
      </c>
      <c r="D13" s="126" t="s">
        <v>457</v>
      </c>
      <c r="E13" s="126" t="s">
        <v>447</v>
      </c>
      <c r="F13" s="127">
        <v>5000</v>
      </c>
      <c r="G13" s="128">
        <v>5000</v>
      </c>
      <c r="H13" s="129">
        <f>G13/F13</f>
        <v>1</v>
      </c>
      <c r="I13" s="128">
        <v>5000</v>
      </c>
      <c r="J13" s="129">
        <f t="shared" ref="J13" si="1">I13/G13</f>
        <v>1</v>
      </c>
      <c r="K13" s="245" t="s">
        <v>541</v>
      </c>
      <c r="L13" s="245" t="s">
        <v>541</v>
      </c>
    </row>
  </sheetData>
  <mergeCells count="13">
    <mergeCell ref="A1:B1"/>
    <mergeCell ref="G4:H4"/>
    <mergeCell ref="I4:J4"/>
    <mergeCell ref="K4:K5"/>
    <mergeCell ref="L4:L5"/>
    <mergeCell ref="A6:E6"/>
    <mergeCell ref="A2:L2"/>
    <mergeCell ref="A4:A5"/>
    <mergeCell ref="B4:B5"/>
    <mergeCell ref="C4:C5"/>
    <mergeCell ref="D4:D5"/>
    <mergeCell ref="E4:E5"/>
    <mergeCell ref="F4:F5"/>
  </mergeCells>
  <phoneticPr fontId="5" type="noConversion"/>
  <printOptions horizontalCentered="1"/>
  <pageMargins left="0.59055118110236227" right="0.59055118110236227" top="0.47244094488188981" bottom="0.47244094488188981" header="0.31496062992125984" footer="0.31496062992125984"/>
  <pageSetup paperSize="9" scale="97" fitToHeight="0" orientation="landscape" r:id="rId1"/>
  <headerFooter>
    <oddFooter>第 &amp;P 页，共 &amp;N 页</oddFooter>
  </headerFooter>
  <legacyDrawing r:id="rId2"/>
</worksheet>
</file>

<file path=xl/worksheets/sheet11.xml><?xml version="1.0" encoding="utf-8"?>
<worksheet xmlns="http://schemas.openxmlformats.org/spreadsheetml/2006/main" xmlns:r="http://schemas.openxmlformats.org/officeDocument/2006/relationships">
  <sheetPr>
    <tabColor rgb="FFFF0000"/>
  </sheetPr>
  <dimension ref="A1:D31"/>
  <sheetViews>
    <sheetView workbookViewId="0">
      <selection activeCell="L13" sqref="L13"/>
    </sheetView>
  </sheetViews>
  <sheetFormatPr defaultColWidth="9" defaultRowHeight="14.25"/>
  <cols>
    <col min="1" max="1" width="7.875" style="136" customWidth="1"/>
    <col min="2" max="2" width="50.25" style="136" customWidth="1"/>
    <col min="3" max="3" width="19.75" style="136" customWidth="1"/>
    <col min="4" max="248" width="9" style="136"/>
    <col min="249" max="249" width="33.625" style="136" customWidth="1"/>
    <col min="250" max="250" width="19.375" style="136" customWidth="1"/>
    <col min="251" max="251" width="20.5" style="136" customWidth="1"/>
    <col min="252" max="252" width="22.5" style="136" customWidth="1"/>
    <col min="253" max="504" width="9" style="136"/>
    <col min="505" max="505" width="33.625" style="136" customWidth="1"/>
    <col min="506" max="506" width="19.375" style="136" customWidth="1"/>
    <col min="507" max="507" width="20.5" style="136" customWidth="1"/>
    <col min="508" max="508" width="22.5" style="136" customWidth="1"/>
    <col min="509" max="760" width="9" style="136"/>
    <col min="761" max="761" width="33.625" style="136" customWidth="1"/>
    <col min="762" max="762" width="19.375" style="136" customWidth="1"/>
    <col min="763" max="763" width="20.5" style="136" customWidth="1"/>
    <col min="764" max="764" width="22.5" style="136" customWidth="1"/>
    <col min="765" max="1016" width="9" style="136"/>
    <col min="1017" max="1017" width="33.625" style="136" customWidth="1"/>
    <col min="1018" max="1018" width="19.375" style="136" customWidth="1"/>
    <col min="1019" max="1019" width="20.5" style="136" customWidth="1"/>
    <col min="1020" max="1020" width="22.5" style="136" customWidth="1"/>
    <col min="1021" max="1272" width="9" style="136"/>
    <col min="1273" max="1273" width="33.625" style="136" customWidth="1"/>
    <col min="1274" max="1274" width="19.375" style="136" customWidth="1"/>
    <col min="1275" max="1275" width="20.5" style="136" customWidth="1"/>
    <col min="1276" max="1276" width="22.5" style="136" customWidth="1"/>
    <col min="1277" max="1528" width="9" style="136"/>
    <col min="1529" max="1529" width="33.625" style="136" customWidth="1"/>
    <col min="1530" max="1530" width="19.375" style="136" customWidth="1"/>
    <col min="1531" max="1531" width="20.5" style="136" customWidth="1"/>
    <col min="1532" max="1532" width="22.5" style="136" customWidth="1"/>
    <col min="1533" max="1784" width="9" style="136"/>
    <col min="1785" max="1785" width="33.625" style="136" customWidth="1"/>
    <col min="1786" max="1786" width="19.375" style="136" customWidth="1"/>
    <col min="1787" max="1787" width="20.5" style="136" customWidth="1"/>
    <col min="1788" max="1788" width="22.5" style="136" customWidth="1"/>
    <col min="1789" max="2040" width="9" style="136"/>
    <col min="2041" max="2041" width="33.625" style="136" customWidth="1"/>
    <col min="2042" max="2042" width="19.375" style="136" customWidth="1"/>
    <col min="2043" max="2043" width="20.5" style="136" customWidth="1"/>
    <col min="2044" max="2044" width="22.5" style="136" customWidth="1"/>
    <col min="2045" max="2296" width="9" style="136"/>
    <col min="2297" max="2297" width="33.625" style="136" customWidth="1"/>
    <col min="2298" max="2298" width="19.375" style="136" customWidth="1"/>
    <col min="2299" max="2299" width="20.5" style="136" customWidth="1"/>
    <col min="2300" max="2300" width="22.5" style="136" customWidth="1"/>
    <col min="2301" max="2552" width="9" style="136"/>
    <col min="2553" max="2553" width="33.625" style="136" customWidth="1"/>
    <col min="2554" max="2554" width="19.375" style="136" customWidth="1"/>
    <col min="2555" max="2555" width="20.5" style="136" customWidth="1"/>
    <col min="2556" max="2556" width="22.5" style="136" customWidth="1"/>
    <col min="2557" max="2808" width="9" style="136"/>
    <col min="2809" max="2809" width="33.625" style="136" customWidth="1"/>
    <col min="2810" max="2810" width="19.375" style="136" customWidth="1"/>
    <col min="2811" max="2811" width="20.5" style="136" customWidth="1"/>
    <col min="2812" max="2812" width="22.5" style="136" customWidth="1"/>
    <col min="2813" max="3064" width="9" style="136"/>
    <col min="3065" max="3065" width="33.625" style="136" customWidth="1"/>
    <col min="3066" max="3066" width="19.375" style="136" customWidth="1"/>
    <col min="3067" max="3067" width="20.5" style="136" customWidth="1"/>
    <col min="3068" max="3068" width="22.5" style="136" customWidth="1"/>
    <col min="3069" max="3320" width="9" style="136"/>
    <col min="3321" max="3321" width="33.625" style="136" customWidth="1"/>
    <col min="3322" max="3322" width="19.375" style="136" customWidth="1"/>
    <col min="3323" max="3323" width="20.5" style="136" customWidth="1"/>
    <col min="3324" max="3324" width="22.5" style="136" customWidth="1"/>
    <col min="3325" max="3576" width="9" style="136"/>
    <col min="3577" max="3577" width="33.625" style="136" customWidth="1"/>
    <col min="3578" max="3578" width="19.375" style="136" customWidth="1"/>
    <col min="3579" max="3579" width="20.5" style="136" customWidth="1"/>
    <col min="3580" max="3580" width="22.5" style="136" customWidth="1"/>
    <col min="3581" max="3832" width="9" style="136"/>
    <col min="3833" max="3833" width="33.625" style="136" customWidth="1"/>
    <col min="3834" max="3834" width="19.375" style="136" customWidth="1"/>
    <col min="3835" max="3835" width="20.5" style="136" customWidth="1"/>
    <col min="3836" max="3836" width="22.5" style="136" customWidth="1"/>
    <col min="3837" max="4088" width="9" style="136"/>
    <col min="4089" max="4089" width="33.625" style="136" customWidth="1"/>
    <col min="4090" max="4090" width="19.375" style="136" customWidth="1"/>
    <col min="4091" max="4091" width="20.5" style="136" customWidth="1"/>
    <col min="4092" max="4092" width="22.5" style="136" customWidth="1"/>
    <col min="4093" max="4344" width="9" style="136"/>
    <col min="4345" max="4345" width="33.625" style="136" customWidth="1"/>
    <col min="4346" max="4346" width="19.375" style="136" customWidth="1"/>
    <col min="4347" max="4347" width="20.5" style="136" customWidth="1"/>
    <col min="4348" max="4348" width="22.5" style="136" customWidth="1"/>
    <col min="4349" max="4600" width="9" style="136"/>
    <col min="4601" max="4601" width="33.625" style="136" customWidth="1"/>
    <col min="4602" max="4602" width="19.375" style="136" customWidth="1"/>
    <col min="4603" max="4603" width="20.5" style="136" customWidth="1"/>
    <col min="4604" max="4604" width="22.5" style="136" customWidth="1"/>
    <col min="4605" max="4856" width="9" style="136"/>
    <col min="4857" max="4857" width="33.625" style="136" customWidth="1"/>
    <col min="4858" max="4858" width="19.375" style="136" customWidth="1"/>
    <col min="4859" max="4859" width="20.5" style="136" customWidth="1"/>
    <col min="4860" max="4860" width="22.5" style="136" customWidth="1"/>
    <col min="4861" max="5112" width="9" style="136"/>
    <col min="5113" max="5113" width="33.625" style="136" customWidth="1"/>
    <col min="5114" max="5114" width="19.375" style="136" customWidth="1"/>
    <col min="5115" max="5115" width="20.5" style="136" customWidth="1"/>
    <col min="5116" max="5116" width="22.5" style="136" customWidth="1"/>
    <col min="5117" max="5368" width="9" style="136"/>
    <col min="5369" max="5369" width="33.625" style="136" customWidth="1"/>
    <col min="5370" max="5370" width="19.375" style="136" customWidth="1"/>
    <col min="5371" max="5371" width="20.5" style="136" customWidth="1"/>
    <col min="5372" max="5372" width="22.5" style="136" customWidth="1"/>
    <col min="5373" max="5624" width="9" style="136"/>
    <col min="5625" max="5625" width="33.625" style="136" customWidth="1"/>
    <col min="5626" max="5626" width="19.375" style="136" customWidth="1"/>
    <col min="5627" max="5627" width="20.5" style="136" customWidth="1"/>
    <col min="5628" max="5628" width="22.5" style="136" customWidth="1"/>
    <col min="5629" max="5880" width="9" style="136"/>
    <col min="5881" max="5881" width="33.625" style="136" customWidth="1"/>
    <col min="5882" max="5882" width="19.375" style="136" customWidth="1"/>
    <col min="5883" max="5883" width="20.5" style="136" customWidth="1"/>
    <col min="5884" max="5884" width="22.5" style="136" customWidth="1"/>
    <col min="5885" max="6136" width="9" style="136"/>
    <col min="6137" max="6137" width="33.625" style="136" customWidth="1"/>
    <col min="6138" max="6138" width="19.375" style="136" customWidth="1"/>
    <col min="6139" max="6139" width="20.5" style="136" customWidth="1"/>
    <col min="6140" max="6140" width="22.5" style="136" customWidth="1"/>
    <col min="6141" max="6392" width="9" style="136"/>
    <col min="6393" max="6393" width="33.625" style="136" customWidth="1"/>
    <col min="6394" max="6394" width="19.375" style="136" customWidth="1"/>
    <col min="6395" max="6395" width="20.5" style="136" customWidth="1"/>
    <col min="6396" max="6396" width="22.5" style="136" customWidth="1"/>
    <col min="6397" max="6648" width="9" style="136"/>
    <col min="6649" max="6649" width="33.625" style="136" customWidth="1"/>
    <col min="6650" max="6650" width="19.375" style="136" customWidth="1"/>
    <col min="6651" max="6651" width="20.5" style="136" customWidth="1"/>
    <col min="6652" max="6652" width="22.5" style="136" customWidth="1"/>
    <col min="6653" max="6904" width="9" style="136"/>
    <col min="6905" max="6905" width="33.625" style="136" customWidth="1"/>
    <col min="6906" max="6906" width="19.375" style="136" customWidth="1"/>
    <col min="6907" max="6907" width="20.5" style="136" customWidth="1"/>
    <col min="6908" max="6908" width="22.5" style="136" customWidth="1"/>
    <col min="6909" max="7160" width="9" style="136"/>
    <col min="7161" max="7161" width="33.625" style="136" customWidth="1"/>
    <col min="7162" max="7162" width="19.375" style="136" customWidth="1"/>
    <col min="7163" max="7163" width="20.5" style="136" customWidth="1"/>
    <col min="7164" max="7164" width="22.5" style="136" customWidth="1"/>
    <col min="7165" max="7416" width="9" style="136"/>
    <col min="7417" max="7417" width="33.625" style="136" customWidth="1"/>
    <col min="7418" max="7418" width="19.375" style="136" customWidth="1"/>
    <col min="7419" max="7419" width="20.5" style="136" customWidth="1"/>
    <col min="7420" max="7420" width="22.5" style="136" customWidth="1"/>
    <col min="7421" max="7672" width="9" style="136"/>
    <col min="7673" max="7673" width="33.625" style="136" customWidth="1"/>
    <col min="7674" max="7674" width="19.375" style="136" customWidth="1"/>
    <col min="7675" max="7675" width="20.5" style="136" customWidth="1"/>
    <col min="7676" max="7676" width="22.5" style="136" customWidth="1"/>
    <col min="7677" max="7928" width="9" style="136"/>
    <col min="7929" max="7929" width="33.625" style="136" customWidth="1"/>
    <col min="7930" max="7930" width="19.375" style="136" customWidth="1"/>
    <col min="7931" max="7931" width="20.5" style="136" customWidth="1"/>
    <col min="7932" max="7932" width="22.5" style="136" customWidth="1"/>
    <col min="7933" max="8184" width="9" style="136"/>
    <col min="8185" max="8185" width="33.625" style="136" customWidth="1"/>
    <col min="8186" max="8186" width="19.375" style="136" customWidth="1"/>
    <col min="8187" max="8187" width="20.5" style="136" customWidth="1"/>
    <col min="8188" max="8188" width="22.5" style="136" customWidth="1"/>
    <col min="8189" max="8440" width="9" style="136"/>
    <col min="8441" max="8441" width="33.625" style="136" customWidth="1"/>
    <col min="8442" max="8442" width="19.375" style="136" customWidth="1"/>
    <col min="8443" max="8443" width="20.5" style="136" customWidth="1"/>
    <col min="8444" max="8444" width="22.5" style="136" customWidth="1"/>
    <col min="8445" max="8696" width="9" style="136"/>
    <col min="8697" max="8697" width="33.625" style="136" customWidth="1"/>
    <col min="8698" max="8698" width="19.375" style="136" customWidth="1"/>
    <col min="8699" max="8699" width="20.5" style="136" customWidth="1"/>
    <col min="8700" max="8700" width="22.5" style="136" customWidth="1"/>
    <col min="8701" max="8952" width="9" style="136"/>
    <col min="8953" max="8953" width="33.625" style="136" customWidth="1"/>
    <col min="8954" max="8954" width="19.375" style="136" customWidth="1"/>
    <col min="8955" max="8955" width="20.5" style="136" customWidth="1"/>
    <col min="8956" max="8956" width="22.5" style="136" customWidth="1"/>
    <col min="8957" max="9208" width="9" style="136"/>
    <col min="9209" max="9209" width="33.625" style="136" customWidth="1"/>
    <col min="9210" max="9210" width="19.375" style="136" customWidth="1"/>
    <col min="9211" max="9211" width="20.5" style="136" customWidth="1"/>
    <col min="9212" max="9212" width="22.5" style="136" customWidth="1"/>
    <col min="9213" max="9464" width="9" style="136"/>
    <col min="9465" max="9465" width="33.625" style="136" customWidth="1"/>
    <col min="9466" max="9466" width="19.375" style="136" customWidth="1"/>
    <col min="9467" max="9467" width="20.5" style="136" customWidth="1"/>
    <col min="9468" max="9468" width="22.5" style="136" customWidth="1"/>
    <col min="9469" max="9720" width="9" style="136"/>
    <col min="9721" max="9721" width="33.625" style="136" customWidth="1"/>
    <col min="9722" max="9722" width="19.375" style="136" customWidth="1"/>
    <col min="9723" max="9723" width="20.5" style="136" customWidth="1"/>
    <col min="9724" max="9724" width="22.5" style="136" customWidth="1"/>
    <col min="9725" max="9976" width="9" style="136"/>
    <col min="9977" max="9977" width="33.625" style="136" customWidth="1"/>
    <col min="9978" max="9978" width="19.375" style="136" customWidth="1"/>
    <col min="9979" max="9979" width="20.5" style="136" customWidth="1"/>
    <col min="9980" max="9980" width="22.5" style="136" customWidth="1"/>
    <col min="9981" max="10232" width="9" style="136"/>
    <col min="10233" max="10233" width="33.625" style="136" customWidth="1"/>
    <col min="10234" max="10234" width="19.375" style="136" customWidth="1"/>
    <col min="10235" max="10235" width="20.5" style="136" customWidth="1"/>
    <col min="10236" max="10236" width="22.5" style="136" customWidth="1"/>
    <col min="10237" max="10488" width="9" style="136"/>
    <col min="10489" max="10489" width="33.625" style="136" customWidth="1"/>
    <col min="10490" max="10490" width="19.375" style="136" customWidth="1"/>
    <col min="10491" max="10491" width="20.5" style="136" customWidth="1"/>
    <col min="10492" max="10492" width="22.5" style="136" customWidth="1"/>
    <col min="10493" max="10744" width="9" style="136"/>
    <col min="10745" max="10745" width="33.625" style="136" customWidth="1"/>
    <col min="10746" max="10746" width="19.375" style="136" customWidth="1"/>
    <col min="10747" max="10747" width="20.5" style="136" customWidth="1"/>
    <col min="10748" max="10748" width="22.5" style="136" customWidth="1"/>
    <col min="10749" max="11000" width="9" style="136"/>
    <col min="11001" max="11001" width="33.625" style="136" customWidth="1"/>
    <col min="11002" max="11002" width="19.375" style="136" customWidth="1"/>
    <col min="11003" max="11003" width="20.5" style="136" customWidth="1"/>
    <col min="11004" max="11004" width="22.5" style="136" customWidth="1"/>
    <col min="11005" max="11256" width="9" style="136"/>
    <col min="11257" max="11257" width="33.625" style="136" customWidth="1"/>
    <col min="11258" max="11258" width="19.375" style="136" customWidth="1"/>
    <col min="11259" max="11259" width="20.5" style="136" customWidth="1"/>
    <col min="11260" max="11260" width="22.5" style="136" customWidth="1"/>
    <col min="11261" max="11512" width="9" style="136"/>
    <col min="11513" max="11513" width="33.625" style="136" customWidth="1"/>
    <col min="11514" max="11514" width="19.375" style="136" customWidth="1"/>
    <col min="11515" max="11515" width="20.5" style="136" customWidth="1"/>
    <col min="11516" max="11516" width="22.5" style="136" customWidth="1"/>
    <col min="11517" max="11768" width="9" style="136"/>
    <col min="11769" max="11769" width="33.625" style="136" customWidth="1"/>
    <col min="11770" max="11770" width="19.375" style="136" customWidth="1"/>
    <col min="11771" max="11771" width="20.5" style="136" customWidth="1"/>
    <col min="11772" max="11772" width="22.5" style="136" customWidth="1"/>
    <col min="11773" max="12024" width="9" style="136"/>
    <col min="12025" max="12025" width="33.625" style="136" customWidth="1"/>
    <col min="12026" max="12026" width="19.375" style="136" customWidth="1"/>
    <col min="12027" max="12027" width="20.5" style="136" customWidth="1"/>
    <col min="12028" max="12028" width="22.5" style="136" customWidth="1"/>
    <col min="12029" max="12280" width="9" style="136"/>
    <col min="12281" max="12281" width="33.625" style="136" customWidth="1"/>
    <col min="12282" max="12282" width="19.375" style="136" customWidth="1"/>
    <col min="12283" max="12283" width="20.5" style="136" customWidth="1"/>
    <col min="12284" max="12284" width="22.5" style="136" customWidth="1"/>
    <col min="12285" max="12536" width="9" style="136"/>
    <col min="12537" max="12537" width="33.625" style="136" customWidth="1"/>
    <col min="12538" max="12538" width="19.375" style="136" customWidth="1"/>
    <col min="12539" max="12539" width="20.5" style="136" customWidth="1"/>
    <col min="12540" max="12540" width="22.5" style="136" customWidth="1"/>
    <col min="12541" max="12792" width="9" style="136"/>
    <col min="12793" max="12793" width="33.625" style="136" customWidth="1"/>
    <col min="12794" max="12794" width="19.375" style="136" customWidth="1"/>
    <col min="12795" max="12795" width="20.5" style="136" customWidth="1"/>
    <col min="12796" max="12796" width="22.5" style="136" customWidth="1"/>
    <col min="12797" max="13048" width="9" style="136"/>
    <col min="13049" max="13049" width="33.625" style="136" customWidth="1"/>
    <col min="13050" max="13050" width="19.375" style="136" customWidth="1"/>
    <col min="13051" max="13051" width="20.5" style="136" customWidth="1"/>
    <col min="13052" max="13052" width="22.5" style="136" customWidth="1"/>
    <col min="13053" max="13304" width="9" style="136"/>
    <col min="13305" max="13305" width="33.625" style="136" customWidth="1"/>
    <col min="13306" max="13306" width="19.375" style="136" customWidth="1"/>
    <col min="13307" max="13307" width="20.5" style="136" customWidth="1"/>
    <col min="13308" max="13308" width="22.5" style="136" customWidth="1"/>
    <col min="13309" max="13560" width="9" style="136"/>
    <col min="13561" max="13561" width="33.625" style="136" customWidth="1"/>
    <col min="13562" max="13562" width="19.375" style="136" customWidth="1"/>
    <col min="13563" max="13563" width="20.5" style="136" customWidth="1"/>
    <col min="13564" max="13564" width="22.5" style="136" customWidth="1"/>
    <col min="13565" max="13816" width="9" style="136"/>
    <col min="13817" max="13817" width="33.625" style="136" customWidth="1"/>
    <col min="13818" max="13818" width="19.375" style="136" customWidth="1"/>
    <col min="13819" max="13819" width="20.5" style="136" customWidth="1"/>
    <col min="13820" max="13820" width="22.5" style="136" customWidth="1"/>
    <col min="13821" max="14072" width="9" style="136"/>
    <col min="14073" max="14073" width="33.625" style="136" customWidth="1"/>
    <col min="14074" max="14074" width="19.375" style="136" customWidth="1"/>
    <col min="14075" max="14075" width="20.5" style="136" customWidth="1"/>
    <col min="14076" max="14076" width="22.5" style="136" customWidth="1"/>
    <col min="14077" max="14328" width="9" style="136"/>
    <col min="14329" max="14329" width="33.625" style="136" customWidth="1"/>
    <col min="14330" max="14330" width="19.375" style="136" customWidth="1"/>
    <col min="14331" max="14331" width="20.5" style="136" customWidth="1"/>
    <col min="14332" max="14332" width="22.5" style="136" customWidth="1"/>
    <col min="14333" max="14584" width="9" style="136"/>
    <col min="14585" max="14585" width="33.625" style="136" customWidth="1"/>
    <col min="14586" max="14586" width="19.375" style="136" customWidth="1"/>
    <col min="14587" max="14587" width="20.5" style="136" customWidth="1"/>
    <col min="14588" max="14588" width="22.5" style="136" customWidth="1"/>
    <col min="14589" max="14840" width="9" style="136"/>
    <col min="14841" max="14841" width="33.625" style="136" customWidth="1"/>
    <col min="14842" max="14842" width="19.375" style="136" customWidth="1"/>
    <col min="14843" max="14843" width="20.5" style="136" customWidth="1"/>
    <col min="14844" max="14844" width="22.5" style="136" customWidth="1"/>
    <col min="14845" max="15096" width="9" style="136"/>
    <col min="15097" max="15097" width="33.625" style="136" customWidth="1"/>
    <col min="15098" max="15098" width="19.375" style="136" customWidth="1"/>
    <col min="15099" max="15099" width="20.5" style="136" customWidth="1"/>
    <col min="15100" max="15100" width="22.5" style="136" customWidth="1"/>
    <col min="15101" max="15352" width="9" style="136"/>
    <col min="15353" max="15353" width="33.625" style="136" customWidth="1"/>
    <col min="15354" max="15354" width="19.375" style="136" customWidth="1"/>
    <col min="15355" max="15355" width="20.5" style="136" customWidth="1"/>
    <col min="15356" max="15356" width="22.5" style="136" customWidth="1"/>
    <col min="15357" max="15608" width="9" style="136"/>
    <col min="15609" max="15609" width="33.625" style="136" customWidth="1"/>
    <col min="15610" max="15610" width="19.375" style="136" customWidth="1"/>
    <col min="15611" max="15611" width="20.5" style="136" customWidth="1"/>
    <col min="15612" max="15612" width="22.5" style="136" customWidth="1"/>
    <col min="15613" max="15864" width="9" style="136"/>
    <col min="15865" max="15865" width="33.625" style="136" customWidth="1"/>
    <col min="15866" max="15866" width="19.375" style="136" customWidth="1"/>
    <col min="15867" max="15867" width="20.5" style="136" customWidth="1"/>
    <col min="15868" max="15868" width="22.5" style="136" customWidth="1"/>
    <col min="15869" max="16120" width="9" style="136"/>
    <col min="16121" max="16121" width="33.625" style="136" customWidth="1"/>
    <col min="16122" max="16122" width="19.375" style="136" customWidth="1"/>
    <col min="16123" max="16123" width="20.5" style="136" customWidth="1"/>
    <col min="16124" max="16124" width="22.5" style="136" customWidth="1"/>
    <col min="16125" max="16384" width="9" style="136"/>
  </cols>
  <sheetData>
    <row r="1" spans="1:3" ht="13.5" customHeight="1">
      <c r="A1" s="133" t="s">
        <v>458</v>
      </c>
      <c r="B1" s="134"/>
      <c r="C1" s="135"/>
    </row>
    <row r="2" spans="1:3" ht="25.5" customHeight="1">
      <c r="A2" s="343" t="s">
        <v>459</v>
      </c>
      <c r="B2" s="343"/>
      <c r="C2" s="343"/>
    </row>
    <row r="3" spans="1:3" ht="15" customHeight="1">
      <c r="A3" s="137"/>
      <c r="B3" s="137"/>
      <c r="C3" s="138"/>
    </row>
    <row r="4" spans="1:3" s="139" customFormat="1" ht="24.95" customHeight="1">
      <c r="A4" s="344" t="s">
        <v>460</v>
      </c>
      <c r="B4" s="344"/>
      <c r="C4" s="344"/>
    </row>
    <row r="5" spans="1:3" s="139" customFormat="1" ht="24.95" customHeight="1">
      <c r="A5" s="140" t="s">
        <v>461</v>
      </c>
      <c r="B5" s="140" t="s">
        <v>462</v>
      </c>
      <c r="C5" s="141" t="s">
        <v>463</v>
      </c>
    </row>
    <row r="6" spans="1:3" s="139" customFormat="1" ht="24.95" customHeight="1">
      <c r="A6" s="142">
        <v>1</v>
      </c>
      <c r="B6" s="143" t="s">
        <v>464</v>
      </c>
      <c r="C6" s="144">
        <v>198111916.40000001</v>
      </c>
    </row>
    <row r="7" spans="1:3" s="139" customFormat="1" ht="24.95" customHeight="1">
      <c r="A7" s="142">
        <v>2</v>
      </c>
      <c r="B7" s="143" t="s">
        <v>465</v>
      </c>
      <c r="C7" s="145">
        <v>4257140000</v>
      </c>
    </row>
    <row r="8" spans="1:3" s="139" customFormat="1" ht="24.95" customHeight="1">
      <c r="A8" s="142">
        <v>3</v>
      </c>
      <c r="B8" s="143" t="s">
        <v>466</v>
      </c>
      <c r="C8" s="145">
        <v>105500000</v>
      </c>
    </row>
    <row r="9" spans="1:3" s="139" customFormat="1" ht="24.95" customHeight="1">
      <c r="A9" s="142">
        <v>4</v>
      </c>
      <c r="B9" s="143" t="s">
        <v>467</v>
      </c>
      <c r="C9" s="145">
        <v>89460000</v>
      </c>
    </row>
    <row r="10" spans="1:3" s="139" customFormat="1" ht="24.95" customHeight="1">
      <c r="A10" s="142">
        <v>5</v>
      </c>
      <c r="B10" s="143" t="s">
        <v>468</v>
      </c>
      <c r="C10" s="145">
        <v>16040000</v>
      </c>
    </row>
    <row r="11" spans="1:3" s="139" customFormat="1" ht="24.95" customHeight="1">
      <c r="A11" s="142">
        <v>6</v>
      </c>
      <c r="B11" s="143" t="s">
        <v>469</v>
      </c>
      <c r="C11" s="145">
        <v>3131910000</v>
      </c>
    </row>
    <row r="12" spans="1:3" s="139" customFormat="1" ht="24.95" customHeight="1">
      <c r="A12" s="142">
        <v>7</v>
      </c>
      <c r="B12" s="143" t="s">
        <v>470</v>
      </c>
      <c r="C12" s="145">
        <v>2743380000</v>
      </c>
    </row>
    <row r="13" spans="1:3" s="139" customFormat="1" ht="24.95" customHeight="1">
      <c r="A13" s="142">
        <v>8</v>
      </c>
      <c r="B13" s="143" t="s">
        <v>471</v>
      </c>
      <c r="C13" s="145">
        <v>388530000</v>
      </c>
    </row>
    <row r="14" spans="1:3" s="139" customFormat="1" ht="24.95" customHeight="1">
      <c r="A14" s="142">
        <v>9</v>
      </c>
      <c r="B14" s="143" t="s">
        <v>472</v>
      </c>
      <c r="C14" s="145">
        <v>1019730000</v>
      </c>
    </row>
    <row r="15" spans="1:3" s="139" customFormat="1" ht="24.95" customHeight="1">
      <c r="A15" s="142">
        <v>10</v>
      </c>
      <c r="B15" s="143" t="s">
        <v>473</v>
      </c>
      <c r="C15" s="145">
        <v>4283480052.5799999</v>
      </c>
    </row>
    <row r="16" spans="1:3" s="139" customFormat="1" ht="24.95" customHeight="1">
      <c r="A16" s="142">
        <v>11</v>
      </c>
      <c r="B16" s="143" t="s">
        <v>474</v>
      </c>
      <c r="C16" s="145">
        <v>-26340052.579999901</v>
      </c>
    </row>
    <row r="17" spans="1:4" s="139" customFormat="1" ht="24.95" customHeight="1">
      <c r="A17" s="142">
        <v>12</v>
      </c>
      <c r="B17" s="143" t="s">
        <v>475</v>
      </c>
      <c r="C17" s="145">
        <v>674286922.51999998</v>
      </c>
    </row>
    <row r="18" spans="1:4" s="139" customFormat="1" ht="24.95" customHeight="1">
      <c r="A18" s="142">
        <v>13</v>
      </c>
      <c r="B18" s="146" t="s">
        <v>476</v>
      </c>
      <c r="C18" s="145"/>
    </row>
    <row r="19" spans="1:4" s="139" customFormat="1" ht="24.95" customHeight="1">
      <c r="A19" s="142">
        <v>14</v>
      </c>
      <c r="B19" s="143" t="s">
        <v>477</v>
      </c>
      <c r="C19" s="145">
        <v>265840000</v>
      </c>
    </row>
    <row r="20" spans="1:4" s="139" customFormat="1" ht="24.95" customHeight="1">
      <c r="A20" s="142">
        <v>15</v>
      </c>
      <c r="B20" s="143" t="s">
        <v>478</v>
      </c>
      <c r="C20" s="145">
        <v>123726000</v>
      </c>
    </row>
    <row r="21" spans="1:4" s="139" customFormat="1" ht="24.95" customHeight="1">
      <c r="A21" s="142">
        <v>16</v>
      </c>
      <c r="B21" s="143" t="s">
        <v>479</v>
      </c>
      <c r="C21" s="145">
        <v>142114000</v>
      </c>
    </row>
    <row r="22" spans="1:4" s="139" customFormat="1" ht="24.95" customHeight="1">
      <c r="A22" s="142">
        <v>17</v>
      </c>
      <c r="B22" s="143" t="s">
        <v>480</v>
      </c>
      <c r="C22" s="147">
        <v>-644629058.70000005</v>
      </c>
    </row>
    <row r="23" spans="1:4" s="139" customFormat="1" ht="24.95" customHeight="1">
      <c r="A23" s="142">
        <v>18</v>
      </c>
      <c r="B23" s="143" t="s">
        <v>481</v>
      </c>
      <c r="C23" s="147"/>
    </row>
    <row r="24" spans="1:4" s="139" customFormat="1" ht="24.95" customHeight="1">
      <c r="A24" s="142">
        <v>19</v>
      </c>
      <c r="B24" s="143" t="s">
        <v>482</v>
      </c>
      <c r="C24" s="147">
        <v>-644629058.70000005</v>
      </c>
    </row>
    <row r="25" spans="1:4" s="139" customFormat="1" ht="24.95" customHeight="1">
      <c r="A25" s="148">
        <v>20</v>
      </c>
      <c r="B25" s="149" t="s">
        <v>483</v>
      </c>
      <c r="C25" s="150">
        <v>65513980</v>
      </c>
    </row>
    <row r="26" spans="1:4" s="154" customFormat="1" hidden="1">
      <c r="A26" s="151">
        <v>21</v>
      </c>
      <c r="B26" s="152" t="s">
        <v>484</v>
      </c>
      <c r="C26" s="153">
        <f>C20-C25</f>
        <v>58212020</v>
      </c>
    </row>
    <row r="27" spans="1:4" hidden="1">
      <c r="A27" s="155">
        <v>24</v>
      </c>
      <c r="B27" s="143" t="s">
        <v>485</v>
      </c>
      <c r="C27" s="145"/>
    </row>
    <row r="28" spans="1:4" hidden="1">
      <c r="A28" s="155">
        <v>25</v>
      </c>
      <c r="B28" s="143" t="s">
        <v>486</v>
      </c>
      <c r="C28" s="145">
        <v>-681753943.16999996</v>
      </c>
      <c r="D28" s="156">
        <v>-644629058.70000005</v>
      </c>
    </row>
    <row r="29" spans="1:4" hidden="1">
      <c r="A29" s="142">
        <v>20</v>
      </c>
      <c r="B29" s="143" t="s">
        <v>483</v>
      </c>
      <c r="C29" s="157">
        <v>115850467</v>
      </c>
      <c r="D29" s="156">
        <v>65513980</v>
      </c>
    </row>
    <row r="30" spans="1:4" hidden="1">
      <c r="A30" s="142">
        <v>21</v>
      </c>
      <c r="B30" s="143" t="s">
        <v>484</v>
      </c>
      <c r="C30" s="157">
        <v>-797604410.16999996</v>
      </c>
      <c r="D30" s="156">
        <v>-710143038.70000005</v>
      </c>
    </row>
    <row r="31" spans="1:4" ht="21.95" customHeight="1">
      <c r="A31" s="151">
        <v>21</v>
      </c>
      <c r="B31" s="152" t="s">
        <v>484</v>
      </c>
      <c r="C31" s="153">
        <v>-710143038.70000005</v>
      </c>
    </row>
  </sheetData>
  <mergeCells count="2">
    <mergeCell ref="A2:C2"/>
    <mergeCell ref="A4:C4"/>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Z33"/>
  <sheetViews>
    <sheetView showZeros="0" zoomScale="70" zoomScaleNormal="70" workbookViewId="0">
      <selection activeCell="M12" sqref="M12"/>
    </sheetView>
  </sheetViews>
  <sheetFormatPr defaultColWidth="9" defaultRowHeight="14.25"/>
  <cols>
    <col min="1" max="1" width="35.5" style="6" customWidth="1"/>
    <col min="2" max="3" width="12.625" style="6" hidden="1" customWidth="1"/>
    <col min="4" max="4" width="12.625" style="6" customWidth="1"/>
    <col min="5" max="5" width="14" style="6" customWidth="1"/>
    <col min="6" max="6" width="14" style="6" hidden="1" customWidth="1"/>
    <col min="7" max="8" width="14" style="6" customWidth="1"/>
    <col min="9" max="10" width="12.625" style="6" customWidth="1"/>
    <col min="11" max="12" width="12.625" style="6" hidden="1" customWidth="1"/>
    <col min="13" max="13" width="35.5" style="6" customWidth="1"/>
    <col min="14" max="15" width="12.625" style="6" hidden="1" customWidth="1"/>
    <col min="16" max="16" width="12.625" style="6" customWidth="1"/>
    <col min="17" max="17" width="14" style="6" customWidth="1"/>
    <col min="18" max="18" width="14" style="6" hidden="1" customWidth="1"/>
    <col min="19" max="20" width="14" style="6" customWidth="1"/>
    <col min="21" max="22" width="12.625" style="6" customWidth="1"/>
    <col min="23" max="24" width="12.625" style="6" hidden="1" customWidth="1"/>
    <col min="25" max="25" width="9" style="6"/>
    <col min="26" max="26" width="21.625" style="6" customWidth="1"/>
    <col min="27" max="16384" width="9" style="6"/>
  </cols>
  <sheetData>
    <row r="1" spans="1:26" ht="20.100000000000001" customHeight="1">
      <c r="A1" s="2" t="s">
        <v>103</v>
      </c>
      <c r="B1" s="3"/>
      <c r="C1" s="3"/>
      <c r="D1" s="3"/>
      <c r="E1" s="3"/>
      <c r="F1" s="3"/>
      <c r="G1" s="3"/>
      <c r="H1" s="3"/>
      <c r="I1" s="3"/>
      <c r="J1" s="3"/>
      <c r="K1" s="3"/>
      <c r="L1" s="3"/>
      <c r="M1" s="3"/>
      <c r="N1" s="3"/>
      <c r="O1" s="3"/>
      <c r="P1" s="3"/>
      <c r="Q1" s="3"/>
      <c r="R1" s="3"/>
      <c r="S1" s="3"/>
      <c r="T1" s="3"/>
      <c r="U1" s="3"/>
      <c r="V1" s="3"/>
      <c r="W1" s="3"/>
      <c r="X1" s="3"/>
    </row>
    <row r="2" spans="1:26" ht="39.950000000000003" customHeight="1">
      <c r="A2" s="299" t="s">
        <v>599</v>
      </c>
      <c r="B2" s="299"/>
      <c r="C2" s="299"/>
      <c r="D2" s="299"/>
      <c r="E2" s="299"/>
      <c r="F2" s="299"/>
      <c r="G2" s="299"/>
      <c r="H2" s="299"/>
      <c r="I2" s="299"/>
      <c r="J2" s="299"/>
      <c r="K2" s="299"/>
      <c r="L2" s="299"/>
      <c r="M2" s="299"/>
      <c r="N2" s="299"/>
      <c r="O2" s="299"/>
      <c r="P2" s="299"/>
      <c r="Q2" s="299"/>
      <c r="R2" s="299"/>
      <c r="S2" s="299"/>
      <c r="T2" s="299"/>
      <c r="U2" s="299"/>
      <c r="V2" s="299"/>
      <c r="W2" s="299"/>
      <c r="X2" s="299"/>
    </row>
    <row r="3" spans="1:26" ht="23.25" customHeight="1">
      <c r="A3" s="3"/>
      <c r="B3" s="3"/>
      <c r="C3" s="3"/>
      <c r="D3" s="3"/>
      <c r="E3" s="3"/>
      <c r="F3" s="3"/>
      <c r="G3" s="3"/>
      <c r="H3" s="3"/>
      <c r="I3" s="3"/>
      <c r="J3" s="3"/>
      <c r="K3" s="3"/>
      <c r="L3" s="3"/>
      <c r="M3" s="3"/>
      <c r="N3" s="301" t="s">
        <v>0</v>
      </c>
      <c r="O3" s="301"/>
      <c r="P3" s="301"/>
      <c r="Q3" s="301"/>
      <c r="R3" s="301"/>
      <c r="S3" s="301"/>
      <c r="T3" s="301"/>
      <c r="U3" s="301"/>
      <c r="V3" s="301"/>
      <c r="W3" s="301"/>
      <c r="X3" s="301"/>
    </row>
    <row r="4" spans="1:26" ht="30" customHeight="1">
      <c r="A4" s="302" t="s">
        <v>1</v>
      </c>
      <c r="B4" s="303"/>
      <c r="C4" s="303"/>
      <c r="D4" s="303"/>
      <c r="E4" s="303"/>
      <c r="F4" s="303"/>
      <c r="G4" s="303"/>
      <c r="H4" s="303"/>
      <c r="I4" s="303"/>
      <c r="J4" s="303"/>
      <c r="K4" s="303"/>
      <c r="L4" s="304"/>
      <c r="M4" s="298" t="s">
        <v>2</v>
      </c>
      <c r="N4" s="298"/>
      <c r="O4" s="298"/>
      <c r="P4" s="298"/>
      <c r="Q4" s="298"/>
      <c r="R4" s="298"/>
      <c r="S4" s="298"/>
      <c r="T4" s="298"/>
      <c r="U4" s="298"/>
      <c r="V4" s="298"/>
      <c r="W4" s="298"/>
      <c r="X4" s="298"/>
      <c r="Y4" s="30"/>
      <c r="Z4" s="13"/>
    </row>
    <row r="5" spans="1:26" s="1" customFormat="1" ht="39.950000000000003" customHeight="1">
      <c r="A5" s="274" t="s">
        <v>3</v>
      </c>
      <c r="B5" s="16" t="s">
        <v>81</v>
      </c>
      <c r="C5" s="16" t="s">
        <v>68</v>
      </c>
      <c r="D5" s="16" t="s">
        <v>69</v>
      </c>
      <c r="E5" s="16" t="s">
        <v>70</v>
      </c>
      <c r="F5" s="16" t="s">
        <v>71</v>
      </c>
      <c r="G5" s="16" t="s">
        <v>106</v>
      </c>
      <c r="H5" s="16" t="s">
        <v>96</v>
      </c>
      <c r="I5" s="16" t="s">
        <v>583</v>
      </c>
      <c r="J5" s="16" t="s">
        <v>584</v>
      </c>
      <c r="K5" s="16" t="s">
        <v>97</v>
      </c>
      <c r="L5" s="16" t="s">
        <v>95</v>
      </c>
      <c r="M5" s="25" t="s">
        <v>3</v>
      </c>
      <c r="N5" s="16" t="s">
        <v>81</v>
      </c>
      <c r="O5" s="16" t="s">
        <v>68</v>
      </c>
      <c r="P5" s="16" t="s">
        <v>69</v>
      </c>
      <c r="Q5" s="16" t="s">
        <v>70</v>
      </c>
      <c r="R5" s="16" t="s">
        <v>71</v>
      </c>
      <c r="S5" s="16" t="s">
        <v>106</v>
      </c>
      <c r="T5" s="16" t="s">
        <v>96</v>
      </c>
      <c r="U5" s="16" t="s">
        <v>583</v>
      </c>
      <c r="V5" s="16" t="s">
        <v>584</v>
      </c>
      <c r="W5" s="16" t="s">
        <v>97</v>
      </c>
      <c r="X5" s="16" t="s">
        <v>95</v>
      </c>
      <c r="Z5" s="4"/>
    </row>
    <row r="6" spans="1:26" s="1" customFormat="1" ht="30" customHeight="1">
      <c r="A6" s="19" t="s">
        <v>46</v>
      </c>
      <c r="B6" s="15">
        <f t="shared" ref="B6:D6" si="0">SUM(B7:B12)</f>
        <v>124600</v>
      </c>
      <c r="C6" s="15">
        <f t="shared" si="0"/>
        <v>93021</v>
      </c>
      <c r="D6" s="15">
        <f t="shared" si="0"/>
        <v>196591</v>
      </c>
      <c r="E6" s="15">
        <f t="shared" ref="E6:F6" si="1">SUM(E7:E12)</f>
        <v>196591</v>
      </c>
      <c r="F6" s="15">
        <f t="shared" si="1"/>
        <v>80087</v>
      </c>
      <c r="G6" s="15">
        <f>SUM(G7:G12)</f>
        <v>104691</v>
      </c>
      <c r="H6" s="15">
        <f>SUM(H7:H12)</f>
        <v>113084</v>
      </c>
      <c r="I6" s="20">
        <f>H6/G6-1</f>
        <v>8.016926001279967E-2</v>
      </c>
      <c r="J6" s="15">
        <f>H6-G6</f>
        <v>8393</v>
      </c>
      <c r="K6" s="20">
        <f>H6/C6-1</f>
        <v>0.21568248030014736</v>
      </c>
      <c r="L6" s="15">
        <f>H6-C6</f>
        <v>20063</v>
      </c>
      <c r="M6" s="21" t="s">
        <v>47</v>
      </c>
      <c r="N6" s="15">
        <f>SUM(N7:N9)</f>
        <v>62021</v>
      </c>
      <c r="O6" s="15">
        <f t="shared" ref="O6:T6" si="2">SUM(O7:O10)</f>
        <v>58086</v>
      </c>
      <c r="P6" s="15">
        <f t="shared" si="2"/>
        <v>62811</v>
      </c>
      <c r="Q6" s="15">
        <f t="shared" si="2"/>
        <v>62811</v>
      </c>
      <c r="R6" s="15">
        <f t="shared" si="2"/>
        <v>27720</v>
      </c>
      <c r="S6" s="15">
        <f t="shared" si="2"/>
        <v>43961</v>
      </c>
      <c r="T6" s="15">
        <f t="shared" si="2"/>
        <v>44081</v>
      </c>
      <c r="U6" s="20">
        <f>T6/S6-1</f>
        <v>2.7296922272013191E-3</v>
      </c>
      <c r="V6" s="15">
        <f>T6-S6</f>
        <v>120</v>
      </c>
      <c r="W6" s="20">
        <f>T6/O6-1</f>
        <v>-0.24110801225768685</v>
      </c>
      <c r="X6" s="15">
        <f>T6-O6</f>
        <v>-14005</v>
      </c>
      <c r="Z6" s="4">
        <v>45591</v>
      </c>
    </row>
    <row r="7" spans="1:26" s="1" customFormat="1" ht="60" customHeight="1">
      <c r="A7" s="21" t="s">
        <v>48</v>
      </c>
      <c r="B7" s="15">
        <v>110000</v>
      </c>
      <c r="C7" s="15">
        <v>54932</v>
      </c>
      <c r="D7" s="15">
        <v>180000</v>
      </c>
      <c r="E7" s="15">
        <v>180000</v>
      </c>
      <c r="F7" s="15">
        <v>70560</v>
      </c>
      <c r="G7" s="15">
        <f>F7+17000</f>
        <v>87560</v>
      </c>
      <c r="H7" s="15">
        <v>95694</v>
      </c>
      <c r="I7" s="20">
        <f t="shared" ref="I7:I23" si="3">H7/G7-1</f>
        <v>9.2896299680219174E-2</v>
      </c>
      <c r="J7" s="15">
        <f t="shared" ref="J7:J23" si="4">H7-G7</f>
        <v>8134</v>
      </c>
      <c r="K7" s="20">
        <f t="shared" ref="K7:K23" si="5">H7/C7-1</f>
        <v>0.74204470982305404</v>
      </c>
      <c r="L7" s="15">
        <f t="shared" ref="L7:L23" si="6">H7-C7</f>
        <v>40762</v>
      </c>
      <c r="M7" s="21" t="s">
        <v>49</v>
      </c>
      <c r="N7" s="15">
        <f>61021-400+1000</f>
        <v>61621</v>
      </c>
      <c r="O7" s="15">
        <f>57623-3000</f>
        <v>54623</v>
      </c>
      <c r="P7" s="15">
        <f>64321-P9-P10-P13</f>
        <v>62311</v>
      </c>
      <c r="Q7" s="15">
        <f>64321-Q9-Q10-Q13</f>
        <v>62311</v>
      </c>
      <c r="R7" s="15">
        <v>27720</v>
      </c>
      <c r="S7" s="15">
        <f>27720+8618</f>
        <v>36338</v>
      </c>
      <c r="T7" s="15">
        <v>36657</v>
      </c>
      <c r="U7" s="20">
        <f t="shared" ref="U7:U23" si="7">T7/S7-1</f>
        <v>8.7786889757279774E-3</v>
      </c>
      <c r="V7" s="15">
        <f t="shared" ref="V7:V23" si="8">T7-S7</f>
        <v>319</v>
      </c>
      <c r="W7" s="20">
        <f t="shared" ref="W7:W23" si="9">T7/O7-1</f>
        <v>-0.32890906760888272</v>
      </c>
      <c r="X7" s="15">
        <f t="shared" ref="X7:X23" si="10">T7-O7</f>
        <v>-17966</v>
      </c>
      <c r="Z7" s="33" t="s">
        <v>82</v>
      </c>
    </row>
    <row r="8" spans="1:26" s="1" customFormat="1" ht="39.950000000000003" customHeight="1">
      <c r="A8" s="21" t="s">
        <v>50</v>
      </c>
      <c r="B8" s="15">
        <v>11000</v>
      </c>
      <c r="C8" s="15">
        <v>35945</v>
      </c>
      <c r="D8" s="15">
        <v>14391</v>
      </c>
      <c r="E8" s="15">
        <v>14391</v>
      </c>
      <c r="F8" s="15">
        <v>7896</v>
      </c>
      <c r="G8" s="15">
        <f>F8+7204</f>
        <v>15100</v>
      </c>
      <c r="H8" s="15">
        <v>15469</v>
      </c>
      <c r="I8" s="20">
        <f t="shared" si="3"/>
        <v>2.4437086092715221E-2</v>
      </c>
      <c r="J8" s="15">
        <f t="shared" si="4"/>
        <v>369</v>
      </c>
      <c r="K8" s="20">
        <f t="shared" si="5"/>
        <v>-0.5696480734455418</v>
      </c>
      <c r="L8" s="15">
        <f t="shared" si="6"/>
        <v>-20476</v>
      </c>
      <c r="M8" s="21" t="s">
        <v>51</v>
      </c>
      <c r="N8" s="15"/>
      <c r="O8" s="15">
        <v>3000</v>
      </c>
      <c r="P8" s="15"/>
      <c r="Q8" s="15"/>
      <c r="R8" s="15"/>
      <c r="S8" s="15">
        <v>7086</v>
      </c>
      <c r="T8" s="15">
        <v>7087</v>
      </c>
      <c r="U8" s="20">
        <f t="shared" si="7"/>
        <v>1.4112334180071961E-4</v>
      </c>
      <c r="V8" s="15">
        <f t="shared" si="8"/>
        <v>1</v>
      </c>
      <c r="W8" s="20">
        <f t="shared" si="9"/>
        <v>1.3623333333333334</v>
      </c>
      <c r="X8" s="15">
        <f t="shared" si="10"/>
        <v>4087</v>
      </c>
      <c r="Y8" s="4"/>
    </row>
    <row r="9" spans="1:26" s="1" customFormat="1" ht="39.950000000000003" customHeight="1">
      <c r="A9" s="21" t="s">
        <v>83</v>
      </c>
      <c r="B9" s="15">
        <v>400</v>
      </c>
      <c r="C9" s="15">
        <v>177</v>
      </c>
      <c r="D9" s="15">
        <v>200</v>
      </c>
      <c r="E9" s="15">
        <v>200</v>
      </c>
      <c r="F9" s="15"/>
      <c r="G9" s="15">
        <v>200</v>
      </c>
      <c r="H9" s="15">
        <v>337</v>
      </c>
      <c r="I9" s="20">
        <f t="shared" si="3"/>
        <v>0.68500000000000005</v>
      </c>
      <c r="J9" s="15">
        <f t="shared" si="4"/>
        <v>137</v>
      </c>
      <c r="K9" s="20">
        <f t="shared" si="5"/>
        <v>0.90395480225988711</v>
      </c>
      <c r="L9" s="15">
        <f t="shared" si="6"/>
        <v>160</v>
      </c>
      <c r="M9" s="21" t="s">
        <v>84</v>
      </c>
      <c r="N9" s="15">
        <v>400</v>
      </c>
      <c r="O9" s="15">
        <v>177</v>
      </c>
      <c r="P9" s="15">
        <v>200</v>
      </c>
      <c r="Q9" s="15">
        <v>200</v>
      </c>
      <c r="R9" s="15"/>
      <c r="S9" s="15">
        <v>200</v>
      </c>
      <c r="T9" s="15">
        <v>337</v>
      </c>
      <c r="U9" s="20">
        <f t="shared" si="7"/>
        <v>0.68500000000000005</v>
      </c>
      <c r="V9" s="15">
        <f t="shared" si="8"/>
        <v>137</v>
      </c>
      <c r="W9" s="20">
        <f t="shared" si="9"/>
        <v>0.90395480225988711</v>
      </c>
      <c r="X9" s="15">
        <f t="shared" si="10"/>
        <v>160</v>
      </c>
    </row>
    <row r="10" spans="1:26" s="1" customFormat="1" ht="39.950000000000003" customHeight="1">
      <c r="A10" s="21" t="s">
        <v>85</v>
      </c>
      <c r="B10" s="15"/>
      <c r="C10" s="15">
        <v>286</v>
      </c>
      <c r="D10" s="15">
        <v>300</v>
      </c>
      <c r="E10" s="15">
        <v>300</v>
      </c>
      <c r="F10" s="15">
        <v>337</v>
      </c>
      <c r="G10" s="15">
        <f>F10</f>
        <v>337</v>
      </c>
      <c r="H10" s="15"/>
      <c r="I10" s="20">
        <f t="shared" si="3"/>
        <v>-1</v>
      </c>
      <c r="J10" s="15">
        <f t="shared" si="4"/>
        <v>-337</v>
      </c>
      <c r="K10" s="20">
        <f t="shared" si="5"/>
        <v>-1</v>
      </c>
      <c r="L10" s="15">
        <f t="shared" si="6"/>
        <v>-286</v>
      </c>
      <c r="M10" s="21" t="s">
        <v>52</v>
      </c>
      <c r="N10" s="15"/>
      <c r="O10" s="15">
        <v>286</v>
      </c>
      <c r="P10" s="15">
        <v>300</v>
      </c>
      <c r="Q10" s="15">
        <v>300</v>
      </c>
      <c r="R10" s="15"/>
      <c r="S10" s="15">
        <v>337</v>
      </c>
      <c r="T10" s="15">
        <v>0</v>
      </c>
      <c r="U10" s="20">
        <f t="shared" si="7"/>
        <v>-1</v>
      </c>
      <c r="V10" s="15">
        <f t="shared" si="8"/>
        <v>-337</v>
      </c>
      <c r="W10" s="20">
        <f t="shared" si="9"/>
        <v>-1</v>
      </c>
      <c r="X10" s="15">
        <f t="shared" si="10"/>
        <v>-286</v>
      </c>
    </row>
    <row r="11" spans="1:26" s="1" customFormat="1" ht="30" customHeight="1">
      <c r="A11" s="21" t="s">
        <v>53</v>
      </c>
      <c r="B11" s="15">
        <v>1200</v>
      </c>
      <c r="C11" s="15">
        <v>1305</v>
      </c>
      <c r="D11" s="15">
        <v>1300</v>
      </c>
      <c r="E11" s="15">
        <v>1300</v>
      </c>
      <c r="F11" s="15">
        <v>1294</v>
      </c>
      <c r="G11" s="15">
        <f>F11+200</f>
        <v>1494</v>
      </c>
      <c r="H11" s="15">
        <v>1584</v>
      </c>
      <c r="I11" s="20">
        <f t="shared" si="3"/>
        <v>6.024096385542177E-2</v>
      </c>
      <c r="J11" s="15">
        <f t="shared" si="4"/>
        <v>90</v>
      </c>
      <c r="K11" s="20">
        <f t="shared" si="5"/>
        <v>0.21379310344827585</v>
      </c>
      <c r="L11" s="15">
        <f t="shared" si="6"/>
        <v>279</v>
      </c>
      <c r="M11" s="21" t="s">
        <v>54</v>
      </c>
      <c r="N11" s="15">
        <f>B13</f>
        <v>24253</v>
      </c>
      <c r="O11" s="15">
        <f>102446-65000+99</f>
        <v>37545</v>
      </c>
      <c r="P11" s="15">
        <f>D13</f>
        <v>40000</v>
      </c>
      <c r="Q11" s="15">
        <f>E13</f>
        <v>40000</v>
      </c>
      <c r="R11" s="15">
        <f>150770-R14-R15</f>
        <v>43760</v>
      </c>
      <c r="S11" s="15">
        <f>R11+10000</f>
        <v>53760</v>
      </c>
      <c r="T11" s="15">
        <f>205326-T12-T14-T15</f>
        <v>63026</v>
      </c>
      <c r="U11" s="20">
        <f t="shared" si="7"/>
        <v>0.17235863095238102</v>
      </c>
      <c r="V11" s="15">
        <f t="shared" si="8"/>
        <v>9266</v>
      </c>
      <c r="W11" s="20">
        <f t="shared" si="9"/>
        <v>0.67867891863097607</v>
      </c>
      <c r="X11" s="15">
        <f t="shared" si="10"/>
        <v>25481</v>
      </c>
      <c r="Z11" s="4">
        <v>205326</v>
      </c>
    </row>
    <row r="12" spans="1:26" s="1" customFormat="1" ht="39.950000000000003" customHeight="1">
      <c r="A12" s="21" t="s">
        <v>86</v>
      </c>
      <c r="B12" s="15">
        <v>2000</v>
      </c>
      <c r="C12" s="15">
        <v>376</v>
      </c>
      <c r="D12" s="15">
        <v>400</v>
      </c>
      <c r="E12" s="15">
        <v>400</v>
      </c>
      <c r="F12" s="15"/>
      <c r="G12" s="15">
        <f>F12</f>
        <v>0</v>
      </c>
      <c r="H12" s="15"/>
      <c r="I12" s="20" t="e">
        <f t="shared" si="3"/>
        <v>#DIV/0!</v>
      </c>
      <c r="J12" s="15">
        <f t="shared" si="4"/>
        <v>0</v>
      </c>
      <c r="K12" s="20">
        <f t="shared" si="5"/>
        <v>-1</v>
      </c>
      <c r="L12" s="15">
        <f t="shared" si="6"/>
        <v>-376</v>
      </c>
      <c r="M12" s="21" t="s">
        <v>87</v>
      </c>
      <c r="N12" s="15"/>
      <c r="O12" s="15"/>
      <c r="P12" s="15">
        <v>12500</v>
      </c>
      <c r="Q12" s="15">
        <v>12500</v>
      </c>
      <c r="R12" s="15">
        <v>12500</v>
      </c>
      <c r="S12" s="15">
        <v>12500</v>
      </c>
      <c r="T12" s="15">
        <v>12500</v>
      </c>
      <c r="U12" s="20">
        <f t="shared" si="7"/>
        <v>0</v>
      </c>
      <c r="V12" s="15">
        <f t="shared" si="8"/>
        <v>0</v>
      </c>
      <c r="W12" s="20"/>
      <c r="X12" s="15">
        <f t="shared" si="10"/>
        <v>12500</v>
      </c>
    </row>
    <row r="13" spans="1:26" s="1" customFormat="1" ht="39.950000000000003" customHeight="1">
      <c r="A13" s="19" t="s">
        <v>55</v>
      </c>
      <c r="B13" s="15">
        <v>24253</v>
      </c>
      <c r="C13" s="15">
        <f>104118-65000</f>
        <v>39118</v>
      </c>
      <c r="D13" s="15">
        <v>40000</v>
      </c>
      <c r="E13" s="15">
        <v>40000</v>
      </c>
      <c r="F13" s="15">
        <v>56722</v>
      </c>
      <c r="G13" s="15">
        <v>56722</v>
      </c>
      <c r="H13" s="15">
        <f>207577-H14-H15-H16</f>
        <v>65277</v>
      </c>
      <c r="I13" s="20">
        <f t="shared" si="3"/>
        <v>0.15082331370544066</v>
      </c>
      <c r="J13" s="15">
        <f t="shared" si="4"/>
        <v>8555</v>
      </c>
      <c r="K13" s="20">
        <f t="shared" si="5"/>
        <v>0.6687202822230176</v>
      </c>
      <c r="L13" s="15">
        <f t="shared" si="6"/>
        <v>26159</v>
      </c>
      <c r="M13" s="21" t="s">
        <v>88</v>
      </c>
      <c r="N13" s="15"/>
      <c r="O13" s="15"/>
      <c r="P13" s="15">
        <v>1510</v>
      </c>
      <c r="Q13" s="15">
        <v>1510</v>
      </c>
      <c r="R13" s="15"/>
      <c r="S13" s="15">
        <v>1510</v>
      </c>
      <c r="T13" s="15">
        <v>1510</v>
      </c>
      <c r="U13" s="20">
        <f t="shared" si="7"/>
        <v>0</v>
      </c>
      <c r="V13" s="15">
        <f t="shared" si="8"/>
        <v>0</v>
      </c>
      <c r="W13" s="20"/>
      <c r="X13" s="15">
        <f t="shared" si="10"/>
        <v>1510</v>
      </c>
    </row>
    <row r="14" spans="1:26" s="1" customFormat="1" ht="30" customHeight="1">
      <c r="A14" s="19" t="s">
        <v>89</v>
      </c>
      <c r="B14" s="15"/>
      <c r="C14" s="15"/>
      <c r="D14" s="15">
        <v>12500</v>
      </c>
      <c r="E14" s="15">
        <v>12500</v>
      </c>
      <c r="F14" s="15">
        <v>12500</v>
      </c>
      <c r="G14" s="15">
        <v>12500</v>
      </c>
      <c r="H14" s="15">
        <v>12500</v>
      </c>
      <c r="I14" s="20">
        <f t="shared" si="3"/>
        <v>0</v>
      </c>
      <c r="J14" s="15">
        <f t="shared" si="4"/>
        <v>0</v>
      </c>
      <c r="K14" s="20" t="e">
        <f t="shared" si="5"/>
        <v>#DIV/0!</v>
      </c>
      <c r="L14" s="15">
        <f t="shared" si="6"/>
        <v>12500</v>
      </c>
      <c r="M14" s="21" t="s">
        <v>56</v>
      </c>
      <c r="N14" s="15">
        <f>B15</f>
        <v>40000</v>
      </c>
      <c r="O14" s="15">
        <v>65000</v>
      </c>
      <c r="P14" s="15">
        <f>D15</f>
        <v>85000</v>
      </c>
      <c r="Q14" s="15">
        <f>E15</f>
        <v>110000</v>
      </c>
      <c r="R14" s="15">
        <v>87210</v>
      </c>
      <c r="S14" s="15">
        <f>G15</f>
        <v>110000</v>
      </c>
      <c r="T14" s="15">
        <f>H15</f>
        <v>110000</v>
      </c>
      <c r="U14" s="20">
        <f t="shared" si="7"/>
        <v>0</v>
      </c>
      <c r="V14" s="15">
        <f t="shared" si="8"/>
        <v>0</v>
      </c>
      <c r="W14" s="20">
        <f t="shared" si="9"/>
        <v>0.69230769230769229</v>
      </c>
      <c r="X14" s="15">
        <f t="shared" si="10"/>
        <v>45000</v>
      </c>
    </row>
    <row r="15" spans="1:26" s="1" customFormat="1" ht="30" customHeight="1">
      <c r="A15" s="19" t="s">
        <v>100</v>
      </c>
      <c r="B15" s="15">
        <v>40000</v>
      </c>
      <c r="C15" s="15">
        <v>65000</v>
      </c>
      <c r="D15" s="15">
        <v>85000</v>
      </c>
      <c r="E15" s="15">
        <f>85000+25000</f>
        <v>110000</v>
      </c>
      <c r="F15" s="15">
        <f>85000+25000</f>
        <v>110000</v>
      </c>
      <c r="G15" s="15">
        <f>85000+25000</f>
        <v>110000</v>
      </c>
      <c r="H15" s="15">
        <f>85000+25000</f>
        <v>110000</v>
      </c>
      <c r="I15" s="20">
        <f t="shared" si="3"/>
        <v>0</v>
      </c>
      <c r="J15" s="15">
        <f t="shared" si="4"/>
        <v>0</v>
      </c>
      <c r="K15" s="20">
        <f t="shared" si="5"/>
        <v>0.69230769230769229</v>
      </c>
      <c r="L15" s="15">
        <f t="shared" si="6"/>
        <v>45000</v>
      </c>
      <c r="M15" s="18" t="s">
        <v>90</v>
      </c>
      <c r="N15" s="15"/>
      <c r="O15" s="15"/>
      <c r="P15" s="15"/>
      <c r="Q15" s="15">
        <v>19800</v>
      </c>
      <c r="R15" s="15">
        <v>19800</v>
      </c>
      <c r="S15" s="15">
        <v>19800</v>
      </c>
      <c r="T15" s="15">
        <v>19800</v>
      </c>
      <c r="U15" s="20">
        <f t="shared" si="7"/>
        <v>0</v>
      </c>
      <c r="V15" s="15">
        <f t="shared" si="8"/>
        <v>0</v>
      </c>
      <c r="W15" s="20"/>
      <c r="X15" s="15">
        <f t="shared" si="10"/>
        <v>19800</v>
      </c>
    </row>
    <row r="16" spans="1:26" s="1" customFormat="1" ht="30" customHeight="1">
      <c r="A16" s="17" t="s">
        <v>101</v>
      </c>
      <c r="B16" s="15"/>
      <c r="C16" s="15"/>
      <c r="D16" s="15"/>
      <c r="E16" s="15">
        <v>19800</v>
      </c>
      <c r="F16" s="15">
        <v>19800</v>
      </c>
      <c r="G16" s="15">
        <v>19800</v>
      </c>
      <c r="H16" s="15">
        <v>19800</v>
      </c>
      <c r="I16" s="20">
        <f t="shared" si="3"/>
        <v>0</v>
      </c>
      <c r="J16" s="15">
        <f t="shared" si="4"/>
        <v>0</v>
      </c>
      <c r="K16" s="20" t="e">
        <f t="shared" si="5"/>
        <v>#DIV/0!</v>
      </c>
      <c r="L16" s="15">
        <f t="shared" si="6"/>
        <v>19800</v>
      </c>
      <c r="M16" s="21" t="s">
        <v>91</v>
      </c>
      <c r="N16" s="15">
        <f>B17</f>
        <v>25049</v>
      </c>
      <c r="O16" s="15">
        <f>19222-99</f>
        <v>19123</v>
      </c>
      <c r="P16" s="15">
        <f>D17</f>
        <v>5455</v>
      </c>
      <c r="Q16" s="15">
        <f>E17</f>
        <v>5455</v>
      </c>
      <c r="R16" s="15">
        <v>4003</v>
      </c>
      <c r="S16" s="15">
        <f>R16+500</f>
        <v>4503</v>
      </c>
      <c r="T16" s="15">
        <v>4502</v>
      </c>
      <c r="U16" s="20">
        <f t="shared" si="7"/>
        <v>-2.220741727737563E-4</v>
      </c>
      <c r="V16" s="15">
        <f t="shared" si="8"/>
        <v>-1</v>
      </c>
      <c r="W16" s="20">
        <f t="shared" si="9"/>
        <v>-0.76457668775819698</v>
      </c>
      <c r="X16" s="15">
        <f t="shared" si="10"/>
        <v>-14621</v>
      </c>
    </row>
    <row r="17" spans="1:26" s="1" customFormat="1" ht="30" customHeight="1">
      <c r="A17" s="19" t="s">
        <v>92</v>
      </c>
      <c r="B17" s="15">
        <f t="shared" ref="B17:G17" si="11">B18+B19+B20</f>
        <v>25049</v>
      </c>
      <c r="C17" s="15">
        <f t="shared" si="11"/>
        <v>24785</v>
      </c>
      <c r="D17" s="15">
        <f t="shared" si="11"/>
        <v>5455</v>
      </c>
      <c r="E17" s="15">
        <f t="shared" si="11"/>
        <v>5455</v>
      </c>
      <c r="F17" s="15">
        <f t="shared" si="11"/>
        <v>5455</v>
      </c>
      <c r="G17" s="15">
        <f t="shared" si="11"/>
        <v>5455</v>
      </c>
      <c r="H17" s="15">
        <f t="shared" ref="H17" si="12">H18+H19+H20</f>
        <v>5455</v>
      </c>
      <c r="I17" s="20">
        <f t="shared" si="3"/>
        <v>0</v>
      </c>
      <c r="J17" s="15">
        <f t="shared" si="4"/>
        <v>0</v>
      </c>
      <c r="K17" s="20">
        <f t="shared" si="5"/>
        <v>-0.7799072019366553</v>
      </c>
      <c r="L17" s="15">
        <f t="shared" si="6"/>
        <v>-19330</v>
      </c>
      <c r="M17" s="18" t="s">
        <v>93</v>
      </c>
      <c r="N17" s="15">
        <f>SUM(N18:N19)</f>
        <v>0</v>
      </c>
      <c r="O17" s="15">
        <f>SUM(O18:O19)</f>
        <v>5455</v>
      </c>
      <c r="P17" s="15"/>
      <c r="Q17" s="15"/>
      <c r="R17" s="15">
        <f>R18+R19</f>
        <v>37199</v>
      </c>
      <c r="S17" s="15">
        <f>S18+S19</f>
        <v>3909</v>
      </c>
      <c r="T17" s="15">
        <f>T18+T19</f>
        <v>2487</v>
      </c>
      <c r="U17" s="20">
        <f t="shared" si="7"/>
        <v>-0.36377590176515728</v>
      </c>
      <c r="V17" s="15">
        <f t="shared" si="8"/>
        <v>-1422</v>
      </c>
      <c r="W17" s="20">
        <f t="shared" si="9"/>
        <v>-0.5440879926672777</v>
      </c>
      <c r="X17" s="15">
        <f t="shared" si="10"/>
        <v>-2968</v>
      </c>
      <c r="Y17" s="4"/>
    </row>
    <row r="18" spans="1:26" s="1" customFormat="1" ht="39.950000000000003" customHeight="1">
      <c r="A18" s="23" t="s">
        <v>27</v>
      </c>
      <c r="B18" s="15">
        <v>25049</v>
      </c>
      <c r="C18" s="15">
        <f>24959-258-1432</f>
        <v>23269</v>
      </c>
      <c r="D18" s="15">
        <f>O17</f>
        <v>5455</v>
      </c>
      <c r="E18" s="15">
        <v>5455</v>
      </c>
      <c r="F18" s="15">
        <f>5455-F19</f>
        <v>5450</v>
      </c>
      <c r="G18" s="15">
        <f>5455-G19</f>
        <v>5450</v>
      </c>
      <c r="H18" s="15">
        <f>5455-H19</f>
        <v>4738</v>
      </c>
      <c r="I18" s="20">
        <f t="shared" si="3"/>
        <v>-0.13064220183486241</v>
      </c>
      <c r="J18" s="15">
        <f t="shared" si="4"/>
        <v>-712</v>
      </c>
      <c r="K18" s="20">
        <f t="shared" si="5"/>
        <v>-0.79638145171687658</v>
      </c>
      <c r="L18" s="15">
        <f t="shared" si="6"/>
        <v>-18531</v>
      </c>
      <c r="M18" s="21" t="s">
        <v>57</v>
      </c>
      <c r="N18" s="15">
        <f>B13-N11</f>
        <v>0</v>
      </c>
      <c r="O18" s="15">
        <f>C13-O11</f>
        <v>1573</v>
      </c>
      <c r="P18" s="15"/>
      <c r="Q18" s="15"/>
      <c r="R18" s="15">
        <f>F13+F14+F15+F16-R11-R12-R14-R15</f>
        <v>35752</v>
      </c>
      <c r="S18" s="15">
        <f>G13+G14+G15+G16-S11-S12-S14-S15</f>
        <v>2962</v>
      </c>
      <c r="T18" s="15">
        <f>H13+H14+H15+H16-T11-T12-T14-T15</f>
        <v>2251</v>
      </c>
      <c r="U18" s="20">
        <f t="shared" si="7"/>
        <v>-0.24004051316677921</v>
      </c>
      <c r="V18" s="15">
        <f t="shared" si="8"/>
        <v>-711</v>
      </c>
      <c r="W18" s="20">
        <f t="shared" si="9"/>
        <v>0.43102352193261284</v>
      </c>
      <c r="X18" s="15">
        <f t="shared" si="10"/>
        <v>678</v>
      </c>
      <c r="Z18" s="4"/>
    </row>
    <row r="19" spans="1:26" s="1" customFormat="1" ht="30" customHeight="1">
      <c r="A19" s="19" t="s">
        <v>29</v>
      </c>
      <c r="B19" s="15"/>
      <c r="C19" s="15">
        <f>61+29+258+1432</f>
        <v>1780</v>
      </c>
      <c r="D19" s="15"/>
      <c r="E19" s="15"/>
      <c r="F19" s="15">
        <v>5</v>
      </c>
      <c r="G19" s="15">
        <v>5</v>
      </c>
      <c r="H19" s="15">
        <f>5+712</f>
        <v>717</v>
      </c>
      <c r="I19" s="20">
        <f t="shared" si="3"/>
        <v>142.4</v>
      </c>
      <c r="J19" s="15">
        <f t="shared" si="4"/>
        <v>712</v>
      </c>
      <c r="K19" s="20">
        <f t="shared" si="5"/>
        <v>-0.59719101123595508</v>
      </c>
      <c r="L19" s="15">
        <f t="shared" si="6"/>
        <v>-1063</v>
      </c>
      <c r="M19" s="21" t="s">
        <v>58</v>
      </c>
      <c r="N19" s="15">
        <f>B18+B20-N16</f>
        <v>0</v>
      </c>
      <c r="O19" s="15">
        <f>C18+C20-O16</f>
        <v>3882</v>
      </c>
      <c r="P19" s="15"/>
      <c r="Q19" s="15"/>
      <c r="R19" s="15">
        <f>F18-R16</f>
        <v>1447</v>
      </c>
      <c r="S19" s="15">
        <f>G18-S16</f>
        <v>947</v>
      </c>
      <c r="T19" s="15">
        <f>H18-T16</f>
        <v>236</v>
      </c>
      <c r="U19" s="20">
        <f t="shared" si="7"/>
        <v>-0.75079197465681102</v>
      </c>
      <c r="V19" s="15">
        <f t="shared" si="8"/>
        <v>-711</v>
      </c>
      <c r="W19" s="20">
        <f t="shared" si="9"/>
        <v>-0.93920659453889743</v>
      </c>
      <c r="X19" s="15">
        <f t="shared" si="10"/>
        <v>-3646</v>
      </c>
      <c r="Z19" s="4"/>
    </row>
    <row r="20" spans="1:26" s="1" customFormat="1" ht="39.950000000000003" customHeight="1">
      <c r="A20" s="19" t="s">
        <v>59</v>
      </c>
      <c r="B20" s="15">
        <v>0</v>
      </c>
      <c r="C20" s="24">
        <v>-264</v>
      </c>
      <c r="D20" s="15"/>
      <c r="E20" s="15"/>
      <c r="F20" s="15"/>
      <c r="G20" s="15"/>
      <c r="H20" s="15"/>
      <c r="I20" s="20" t="e">
        <f t="shared" si="3"/>
        <v>#DIV/0!</v>
      </c>
      <c r="J20" s="15">
        <f t="shared" si="4"/>
        <v>0</v>
      </c>
      <c r="K20" s="20">
        <f t="shared" si="5"/>
        <v>-1</v>
      </c>
      <c r="L20" s="15">
        <f t="shared" si="6"/>
        <v>264</v>
      </c>
      <c r="M20" s="274" t="s">
        <v>60</v>
      </c>
      <c r="N20" s="26">
        <f>N6+N11+N14+N16</f>
        <v>151323</v>
      </c>
      <c r="O20" s="26">
        <f>O6+O11+O14+O16</f>
        <v>179754</v>
      </c>
      <c r="P20" s="26">
        <f>P6+P11+P14+P16</f>
        <v>193266</v>
      </c>
      <c r="Q20" s="26">
        <f>Q6+Q11+Q14+Q15+Q16</f>
        <v>238066</v>
      </c>
      <c r="R20" s="26">
        <f>R6+R11+R14+R15+R16</f>
        <v>182493</v>
      </c>
      <c r="S20" s="26">
        <f>S6+S11+S14+S16</f>
        <v>212224</v>
      </c>
      <c r="T20" s="26">
        <f>T6+T11+T14+T16+T15</f>
        <v>241409</v>
      </c>
      <c r="U20" s="20">
        <f t="shared" si="7"/>
        <v>0.13751979041013263</v>
      </c>
      <c r="V20" s="15">
        <f t="shared" si="8"/>
        <v>29185</v>
      </c>
      <c r="W20" s="20">
        <f t="shared" si="9"/>
        <v>0.3429965397153889</v>
      </c>
      <c r="X20" s="15">
        <f t="shared" si="10"/>
        <v>61655</v>
      </c>
    </row>
    <row r="21" spans="1:26" s="1" customFormat="1" ht="39.950000000000003" customHeight="1">
      <c r="A21" s="25" t="s">
        <v>61</v>
      </c>
      <c r="B21" s="26">
        <f t="shared" ref="B21:G21" si="13">B6+B19</f>
        <v>124600</v>
      </c>
      <c r="C21" s="26">
        <f t="shared" si="13"/>
        <v>94801</v>
      </c>
      <c r="D21" s="26">
        <f t="shared" si="13"/>
        <v>196591</v>
      </c>
      <c r="E21" s="26">
        <f t="shared" si="13"/>
        <v>196591</v>
      </c>
      <c r="F21" s="26">
        <f t="shared" si="13"/>
        <v>80092</v>
      </c>
      <c r="G21" s="26">
        <f t="shared" si="13"/>
        <v>104696</v>
      </c>
      <c r="H21" s="26">
        <f>H6+H19</f>
        <v>113801</v>
      </c>
      <c r="I21" s="20">
        <f t="shared" si="3"/>
        <v>8.6966073202414673E-2</v>
      </c>
      <c r="J21" s="15">
        <f t="shared" si="4"/>
        <v>9105</v>
      </c>
      <c r="K21" s="20">
        <f t="shared" si="5"/>
        <v>0.20041982679507608</v>
      </c>
      <c r="L21" s="15">
        <f t="shared" si="6"/>
        <v>19000</v>
      </c>
      <c r="M21" s="25" t="s">
        <v>62</v>
      </c>
      <c r="N21" s="26">
        <f t="shared" ref="N21:O21" si="14">N6+N13</f>
        <v>62021</v>
      </c>
      <c r="O21" s="26">
        <f t="shared" si="14"/>
        <v>58086</v>
      </c>
      <c r="P21" s="26">
        <f>P6+P13</f>
        <v>64321</v>
      </c>
      <c r="Q21" s="26">
        <f>Q6+Q13</f>
        <v>64321</v>
      </c>
      <c r="R21" s="26">
        <f>R6+R13</f>
        <v>27720</v>
      </c>
      <c r="S21" s="26">
        <f>S6+S13</f>
        <v>45471</v>
      </c>
      <c r="T21" s="26">
        <f>T6+T13</f>
        <v>45591</v>
      </c>
      <c r="U21" s="20">
        <f t="shared" si="7"/>
        <v>2.6390446658308697E-3</v>
      </c>
      <c r="V21" s="15">
        <f t="shared" si="8"/>
        <v>120</v>
      </c>
      <c r="W21" s="20">
        <f t="shared" si="9"/>
        <v>-0.21511207519884312</v>
      </c>
      <c r="X21" s="15">
        <f t="shared" si="10"/>
        <v>-12495</v>
      </c>
    </row>
    <row r="22" spans="1:26" s="1" customFormat="1" ht="39.950000000000003" customHeight="1">
      <c r="A22" s="25" t="s">
        <v>63</v>
      </c>
      <c r="B22" s="26">
        <f>B6+B13+B14+B15+B17</f>
        <v>213902</v>
      </c>
      <c r="C22" s="26">
        <f>C6+C13+C14+C15+C17</f>
        <v>221924</v>
      </c>
      <c r="D22" s="26">
        <f>D6+D13+D14+D15+D17</f>
        <v>339546</v>
      </c>
      <c r="E22" s="26">
        <f>E6+E13+E14+E15+E16+E17</f>
        <v>384346</v>
      </c>
      <c r="F22" s="26">
        <f>F6+F13+F14+F15+F16+F17</f>
        <v>284564</v>
      </c>
      <c r="G22" s="26">
        <f>G6+G13+G14+G15+G16+G17</f>
        <v>309168</v>
      </c>
      <c r="H22" s="26">
        <f>H6+H13+H14+H15+H16+H17</f>
        <v>326116</v>
      </c>
      <c r="I22" s="20">
        <f t="shared" si="3"/>
        <v>5.4818092428711829E-2</v>
      </c>
      <c r="J22" s="15">
        <f t="shared" si="4"/>
        <v>16948</v>
      </c>
      <c r="K22" s="20">
        <f t="shared" si="5"/>
        <v>0.4694940610299021</v>
      </c>
      <c r="L22" s="15">
        <f t="shared" si="6"/>
        <v>104192</v>
      </c>
      <c r="M22" s="25" t="s">
        <v>94</v>
      </c>
      <c r="N22" s="26">
        <f>N6+N11+N12+N14+N16+N17</f>
        <v>151323</v>
      </c>
      <c r="O22" s="26">
        <f>O6+O11+O12+O14+O16+O17</f>
        <v>185209</v>
      </c>
      <c r="P22" s="26">
        <f>P6+P11+P12+P13+P14+P16+P17</f>
        <v>207276</v>
      </c>
      <c r="Q22" s="26">
        <f>Q6+Q11+Q12+Q13+Q14+Q15+Q16+Q17</f>
        <v>252076</v>
      </c>
      <c r="R22" s="26">
        <f>R6+R11+R12+R13+R14+R16+R17+R15</f>
        <v>232192</v>
      </c>
      <c r="S22" s="26">
        <f>S6+S11+S12+S13+S14+S16+S17+S15</f>
        <v>249943</v>
      </c>
      <c r="T22" s="26">
        <f>T6+T11+T12+T13+T14+T16+T17+T15</f>
        <v>257906</v>
      </c>
      <c r="U22" s="20">
        <f t="shared" si="7"/>
        <v>3.1859263912171976E-2</v>
      </c>
      <c r="V22" s="15">
        <f t="shared" si="8"/>
        <v>7963</v>
      </c>
      <c r="W22" s="20">
        <f t="shared" si="9"/>
        <v>0.39251332278668971</v>
      </c>
      <c r="X22" s="15">
        <f t="shared" si="10"/>
        <v>72697</v>
      </c>
    </row>
    <row r="23" spans="1:26" ht="39.950000000000003" customHeight="1">
      <c r="A23" s="25" t="s">
        <v>64</v>
      </c>
      <c r="B23" s="26">
        <f t="shared" ref="B23:H23" si="15">B22-N22</f>
        <v>62579</v>
      </c>
      <c r="C23" s="26">
        <f t="shared" si="15"/>
        <v>36715</v>
      </c>
      <c r="D23" s="26">
        <f t="shared" si="15"/>
        <v>132270</v>
      </c>
      <c r="E23" s="26">
        <f t="shared" si="15"/>
        <v>132270</v>
      </c>
      <c r="F23" s="26">
        <f t="shared" si="15"/>
        <v>52372</v>
      </c>
      <c r="G23" s="26">
        <f t="shared" si="15"/>
        <v>59225</v>
      </c>
      <c r="H23" s="26">
        <f t="shared" si="15"/>
        <v>68210</v>
      </c>
      <c r="I23" s="20">
        <f t="shared" si="3"/>
        <v>0.1517095821021528</v>
      </c>
      <c r="J23" s="15">
        <f t="shared" si="4"/>
        <v>8985</v>
      </c>
      <c r="K23" s="20">
        <f t="shared" si="5"/>
        <v>0.85782377774751462</v>
      </c>
      <c r="L23" s="15">
        <f t="shared" si="6"/>
        <v>31495</v>
      </c>
      <c r="M23" s="25" t="s">
        <v>65</v>
      </c>
      <c r="N23" s="26">
        <f t="shared" ref="N23:T23" si="16">B23</f>
        <v>62579</v>
      </c>
      <c r="O23" s="26">
        <f t="shared" si="16"/>
        <v>36715</v>
      </c>
      <c r="P23" s="26">
        <f t="shared" si="16"/>
        <v>132270</v>
      </c>
      <c r="Q23" s="26">
        <f t="shared" si="16"/>
        <v>132270</v>
      </c>
      <c r="R23" s="26">
        <f t="shared" si="16"/>
        <v>52372</v>
      </c>
      <c r="S23" s="26">
        <f t="shared" si="16"/>
        <v>59225</v>
      </c>
      <c r="T23" s="26">
        <f t="shared" si="16"/>
        <v>68210</v>
      </c>
      <c r="U23" s="20">
        <f t="shared" si="7"/>
        <v>0.1517095821021528</v>
      </c>
      <c r="V23" s="15">
        <f t="shared" si="8"/>
        <v>8985</v>
      </c>
      <c r="W23" s="20">
        <f t="shared" si="9"/>
        <v>0.85782377774751462</v>
      </c>
      <c r="X23" s="15">
        <f t="shared" si="10"/>
        <v>31495</v>
      </c>
    </row>
    <row r="24" spans="1:26" ht="35.1" customHeight="1"/>
    <row r="25" spans="1:26" ht="35.1" customHeight="1">
      <c r="C25" s="31"/>
      <c r="H25" s="13"/>
      <c r="O25" s="13"/>
      <c r="T25" s="13"/>
    </row>
    <row r="26" spans="1:26" ht="35.1" customHeight="1">
      <c r="C26" s="32"/>
      <c r="M26" s="13"/>
      <c r="O26" s="13"/>
      <c r="P26" s="13"/>
      <c r="Q26" s="13"/>
      <c r="R26" s="13"/>
      <c r="S26" s="13"/>
      <c r="T26" s="13">
        <f>T20+一般收支平衡表!T32</f>
        <v>900683</v>
      </c>
    </row>
    <row r="27" spans="1:26" ht="35.1" customHeight="1">
      <c r="U27" s="13"/>
      <c r="V27" s="13"/>
    </row>
    <row r="28" spans="1:26" ht="35.1" customHeight="1"/>
    <row r="29" spans="1:26" ht="35.1" customHeight="1"/>
    <row r="30" spans="1:26" ht="35.1" customHeight="1"/>
    <row r="31" spans="1:26" ht="35.1" customHeight="1"/>
    <row r="32" spans="1:26" ht="35.1" customHeight="1"/>
    <row r="33" ht="35.1" customHeight="1"/>
  </sheetData>
  <mergeCells count="4">
    <mergeCell ref="M4:X4"/>
    <mergeCell ref="N3:X3"/>
    <mergeCell ref="A2:X2"/>
    <mergeCell ref="A4:L4"/>
  </mergeCells>
  <phoneticPr fontId="5" type="noConversion"/>
  <printOptions horizontalCentered="1"/>
  <pageMargins left="0.47244094488188981" right="0.47244094488188981" top="0.59055118110236227" bottom="0.39370078740157483" header="0" footer="0.31496062992125984"/>
  <pageSetup paperSize="9" scale="55" fitToHeight="0"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20"/>
  <sheetViews>
    <sheetView workbookViewId="0">
      <pane ySplit="4" topLeftCell="A8" activePane="bottomLeft" state="frozen"/>
      <selection pane="bottomLeft" activeCell="D10" sqref="D10"/>
    </sheetView>
  </sheetViews>
  <sheetFormatPr defaultRowHeight="14.25"/>
  <cols>
    <col min="1" max="1" width="26.375" style="71" customWidth="1"/>
    <col min="2" max="4" width="10.25" style="71" customWidth="1"/>
    <col min="5" max="5" width="10.25" style="72" customWidth="1"/>
    <col min="6" max="6" width="10.25" style="71" customWidth="1"/>
    <col min="7" max="7" width="10.25" style="73" customWidth="1"/>
    <col min="8" max="8" width="10" style="73" customWidth="1"/>
    <col min="9" max="249" width="9" style="71"/>
    <col min="250" max="250" width="24.25" style="71" customWidth="1"/>
    <col min="251" max="255" width="10.375" style="71" customWidth="1"/>
    <col min="256" max="256" width="0" style="71" hidden="1" customWidth="1"/>
    <col min="257" max="505" width="9" style="71"/>
    <col min="506" max="506" width="24.25" style="71" customWidth="1"/>
    <col min="507" max="511" width="10.375" style="71" customWidth="1"/>
    <col min="512" max="512" width="0" style="71" hidden="1" customWidth="1"/>
    <col min="513" max="761" width="9" style="71"/>
    <col min="762" max="762" width="24.25" style="71" customWidth="1"/>
    <col min="763" max="767" width="10.375" style="71" customWidth="1"/>
    <col min="768" max="768" width="0" style="71" hidden="1" customWidth="1"/>
    <col min="769" max="1017" width="9" style="71"/>
    <col min="1018" max="1018" width="24.25" style="71" customWidth="1"/>
    <col min="1019" max="1023" width="10.375" style="71" customWidth="1"/>
    <col min="1024" max="1024" width="0" style="71" hidden="1" customWidth="1"/>
    <col min="1025" max="1273" width="9" style="71"/>
    <col min="1274" max="1274" width="24.25" style="71" customWidth="1"/>
    <col min="1275" max="1279" width="10.375" style="71" customWidth="1"/>
    <col min="1280" max="1280" width="0" style="71" hidden="1" customWidth="1"/>
    <col min="1281" max="1529" width="9" style="71"/>
    <col min="1530" max="1530" width="24.25" style="71" customWidth="1"/>
    <col min="1531" max="1535" width="10.375" style="71" customWidth="1"/>
    <col min="1536" max="1536" width="0" style="71" hidden="1" customWidth="1"/>
    <col min="1537" max="1785" width="9" style="71"/>
    <col min="1786" max="1786" width="24.25" style="71" customWidth="1"/>
    <col min="1787" max="1791" width="10.375" style="71" customWidth="1"/>
    <col min="1792" max="1792" width="0" style="71" hidden="1" customWidth="1"/>
    <col min="1793" max="2041" width="9" style="71"/>
    <col min="2042" max="2042" width="24.25" style="71" customWidth="1"/>
    <col min="2043" max="2047" width="10.375" style="71" customWidth="1"/>
    <col min="2048" max="2048" width="0" style="71" hidden="1" customWidth="1"/>
    <col min="2049" max="2297" width="9" style="71"/>
    <col min="2298" max="2298" width="24.25" style="71" customWidth="1"/>
    <col min="2299" max="2303" width="10.375" style="71" customWidth="1"/>
    <col min="2304" max="2304" width="0" style="71" hidden="1" customWidth="1"/>
    <col min="2305" max="2553" width="9" style="71"/>
    <col min="2554" max="2554" width="24.25" style="71" customWidth="1"/>
    <col min="2555" max="2559" width="10.375" style="71" customWidth="1"/>
    <col min="2560" max="2560" width="0" style="71" hidden="1" customWidth="1"/>
    <col min="2561" max="2809" width="9" style="71"/>
    <col min="2810" max="2810" width="24.25" style="71" customWidth="1"/>
    <col min="2811" max="2815" width="10.375" style="71" customWidth="1"/>
    <col min="2816" max="2816" width="0" style="71" hidden="1" customWidth="1"/>
    <col min="2817" max="3065" width="9" style="71"/>
    <col min="3066" max="3066" width="24.25" style="71" customWidth="1"/>
    <col min="3067" max="3071" width="10.375" style="71" customWidth="1"/>
    <col min="3072" max="3072" width="0" style="71" hidden="1" customWidth="1"/>
    <col min="3073" max="3321" width="9" style="71"/>
    <col min="3322" max="3322" width="24.25" style="71" customWidth="1"/>
    <col min="3323" max="3327" width="10.375" style="71" customWidth="1"/>
    <col min="3328" max="3328" width="0" style="71" hidden="1" customWidth="1"/>
    <col min="3329" max="3577" width="9" style="71"/>
    <col min="3578" max="3578" width="24.25" style="71" customWidth="1"/>
    <col min="3579" max="3583" width="10.375" style="71" customWidth="1"/>
    <col min="3584" max="3584" width="0" style="71" hidden="1" customWidth="1"/>
    <col min="3585" max="3833" width="9" style="71"/>
    <col min="3834" max="3834" width="24.25" style="71" customWidth="1"/>
    <col min="3835" max="3839" width="10.375" style="71" customWidth="1"/>
    <col min="3840" max="3840" width="0" style="71" hidden="1" customWidth="1"/>
    <col min="3841" max="4089" width="9" style="71"/>
    <col min="4090" max="4090" width="24.25" style="71" customWidth="1"/>
    <col min="4091" max="4095" width="10.375" style="71" customWidth="1"/>
    <col min="4096" max="4096" width="0" style="71" hidden="1" customWidth="1"/>
    <col min="4097" max="4345" width="9" style="71"/>
    <col min="4346" max="4346" width="24.25" style="71" customWidth="1"/>
    <col min="4347" max="4351" width="10.375" style="71" customWidth="1"/>
    <col min="4352" max="4352" width="0" style="71" hidden="1" customWidth="1"/>
    <col min="4353" max="4601" width="9" style="71"/>
    <col min="4602" max="4602" width="24.25" style="71" customWidth="1"/>
    <col min="4603" max="4607" width="10.375" style="71" customWidth="1"/>
    <col min="4608" max="4608" width="0" style="71" hidden="1" customWidth="1"/>
    <col min="4609" max="4857" width="9" style="71"/>
    <col min="4858" max="4858" width="24.25" style="71" customWidth="1"/>
    <col min="4859" max="4863" width="10.375" style="71" customWidth="1"/>
    <col min="4864" max="4864" width="0" style="71" hidden="1" customWidth="1"/>
    <col min="4865" max="5113" width="9" style="71"/>
    <col min="5114" max="5114" width="24.25" style="71" customWidth="1"/>
    <col min="5115" max="5119" width="10.375" style="71" customWidth="1"/>
    <col min="5120" max="5120" width="0" style="71" hidden="1" customWidth="1"/>
    <col min="5121" max="5369" width="9" style="71"/>
    <col min="5370" max="5370" width="24.25" style="71" customWidth="1"/>
    <col min="5371" max="5375" width="10.375" style="71" customWidth="1"/>
    <col min="5376" max="5376" width="0" style="71" hidden="1" customWidth="1"/>
    <col min="5377" max="5625" width="9" style="71"/>
    <col min="5626" max="5626" width="24.25" style="71" customWidth="1"/>
    <col min="5627" max="5631" width="10.375" style="71" customWidth="1"/>
    <col min="5632" max="5632" width="0" style="71" hidden="1" customWidth="1"/>
    <col min="5633" max="5881" width="9" style="71"/>
    <col min="5882" max="5882" width="24.25" style="71" customWidth="1"/>
    <col min="5883" max="5887" width="10.375" style="71" customWidth="1"/>
    <col min="5888" max="5888" width="0" style="71" hidden="1" customWidth="1"/>
    <col min="5889" max="6137" width="9" style="71"/>
    <col min="6138" max="6138" width="24.25" style="71" customWidth="1"/>
    <col min="6139" max="6143" width="10.375" style="71" customWidth="1"/>
    <col min="6144" max="6144" width="0" style="71" hidden="1" customWidth="1"/>
    <col min="6145" max="6393" width="9" style="71"/>
    <col min="6394" max="6394" width="24.25" style="71" customWidth="1"/>
    <col min="6395" max="6399" width="10.375" style="71" customWidth="1"/>
    <col min="6400" max="6400" width="0" style="71" hidden="1" customWidth="1"/>
    <col min="6401" max="6649" width="9" style="71"/>
    <col min="6650" max="6650" width="24.25" style="71" customWidth="1"/>
    <col min="6651" max="6655" width="10.375" style="71" customWidth="1"/>
    <col min="6656" max="6656" width="0" style="71" hidden="1" customWidth="1"/>
    <col min="6657" max="6905" width="9" style="71"/>
    <col min="6906" max="6906" width="24.25" style="71" customWidth="1"/>
    <col min="6907" max="6911" width="10.375" style="71" customWidth="1"/>
    <col min="6912" max="6912" width="0" style="71" hidden="1" customWidth="1"/>
    <col min="6913" max="7161" width="9" style="71"/>
    <col min="7162" max="7162" width="24.25" style="71" customWidth="1"/>
    <col min="7163" max="7167" width="10.375" style="71" customWidth="1"/>
    <col min="7168" max="7168" width="0" style="71" hidden="1" customWidth="1"/>
    <col min="7169" max="7417" width="9" style="71"/>
    <col min="7418" max="7418" width="24.25" style="71" customWidth="1"/>
    <col min="7419" max="7423" width="10.375" style="71" customWidth="1"/>
    <col min="7424" max="7424" width="0" style="71" hidden="1" customWidth="1"/>
    <col min="7425" max="7673" width="9" style="71"/>
    <col min="7674" max="7674" width="24.25" style="71" customWidth="1"/>
    <col min="7675" max="7679" width="10.375" style="71" customWidth="1"/>
    <col min="7680" max="7680" width="0" style="71" hidden="1" customWidth="1"/>
    <col min="7681" max="7929" width="9" style="71"/>
    <col min="7930" max="7930" width="24.25" style="71" customWidth="1"/>
    <col min="7931" max="7935" width="10.375" style="71" customWidth="1"/>
    <col min="7936" max="7936" width="0" style="71" hidden="1" customWidth="1"/>
    <col min="7937" max="8185" width="9" style="71"/>
    <col min="8186" max="8186" width="24.25" style="71" customWidth="1"/>
    <col min="8187" max="8191" width="10.375" style="71" customWidth="1"/>
    <col min="8192" max="8192" width="0" style="71" hidden="1" customWidth="1"/>
    <col min="8193" max="8441" width="9" style="71"/>
    <col min="8442" max="8442" width="24.25" style="71" customWidth="1"/>
    <col min="8443" max="8447" width="10.375" style="71" customWidth="1"/>
    <col min="8448" max="8448" width="0" style="71" hidden="1" customWidth="1"/>
    <col min="8449" max="8697" width="9" style="71"/>
    <col min="8698" max="8698" width="24.25" style="71" customWidth="1"/>
    <col min="8699" max="8703" width="10.375" style="71" customWidth="1"/>
    <col min="8704" max="8704" width="0" style="71" hidden="1" customWidth="1"/>
    <col min="8705" max="8953" width="9" style="71"/>
    <col min="8954" max="8954" width="24.25" style="71" customWidth="1"/>
    <col min="8955" max="8959" width="10.375" style="71" customWidth="1"/>
    <col min="8960" max="8960" width="0" style="71" hidden="1" customWidth="1"/>
    <col min="8961" max="9209" width="9" style="71"/>
    <col min="9210" max="9210" width="24.25" style="71" customWidth="1"/>
    <col min="9211" max="9215" width="10.375" style="71" customWidth="1"/>
    <col min="9216" max="9216" width="0" style="71" hidden="1" customWidth="1"/>
    <col min="9217" max="9465" width="9" style="71"/>
    <col min="9466" max="9466" width="24.25" style="71" customWidth="1"/>
    <col min="9467" max="9471" width="10.375" style="71" customWidth="1"/>
    <col min="9472" max="9472" width="0" style="71" hidden="1" customWidth="1"/>
    <col min="9473" max="9721" width="9" style="71"/>
    <col min="9722" max="9722" width="24.25" style="71" customWidth="1"/>
    <col min="9723" max="9727" width="10.375" style="71" customWidth="1"/>
    <col min="9728" max="9728" width="0" style="71" hidden="1" customWidth="1"/>
    <col min="9729" max="9977" width="9" style="71"/>
    <col min="9978" max="9978" width="24.25" style="71" customWidth="1"/>
    <col min="9979" max="9983" width="10.375" style="71" customWidth="1"/>
    <col min="9984" max="9984" width="0" style="71" hidden="1" customWidth="1"/>
    <col min="9985" max="10233" width="9" style="71"/>
    <col min="10234" max="10234" width="24.25" style="71" customWidth="1"/>
    <col min="10235" max="10239" width="10.375" style="71" customWidth="1"/>
    <col min="10240" max="10240" width="0" style="71" hidden="1" customWidth="1"/>
    <col min="10241" max="10489" width="9" style="71"/>
    <col min="10490" max="10490" width="24.25" style="71" customWidth="1"/>
    <col min="10491" max="10495" width="10.375" style="71" customWidth="1"/>
    <col min="10496" max="10496" width="0" style="71" hidden="1" customWidth="1"/>
    <col min="10497" max="10745" width="9" style="71"/>
    <col min="10746" max="10746" width="24.25" style="71" customWidth="1"/>
    <col min="10747" max="10751" width="10.375" style="71" customWidth="1"/>
    <col min="10752" max="10752" width="0" style="71" hidden="1" customWidth="1"/>
    <col min="10753" max="11001" width="9" style="71"/>
    <col min="11002" max="11002" width="24.25" style="71" customWidth="1"/>
    <col min="11003" max="11007" width="10.375" style="71" customWidth="1"/>
    <col min="11008" max="11008" width="0" style="71" hidden="1" customWidth="1"/>
    <col min="11009" max="11257" width="9" style="71"/>
    <col min="11258" max="11258" width="24.25" style="71" customWidth="1"/>
    <col min="11259" max="11263" width="10.375" style="71" customWidth="1"/>
    <col min="11264" max="11264" width="0" style="71" hidden="1" customWidth="1"/>
    <col min="11265" max="11513" width="9" style="71"/>
    <col min="11514" max="11514" width="24.25" style="71" customWidth="1"/>
    <col min="11515" max="11519" width="10.375" style="71" customWidth="1"/>
    <col min="11520" max="11520" width="0" style="71" hidden="1" customWidth="1"/>
    <col min="11521" max="11769" width="9" style="71"/>
    <col min="11770" max="11770" width="24.25" style="71" customWidth="1"/>
    <col min="11771" max="11775" width="10.375" style="71" customWidth="1"/>
    <col min="11776" max="11776" width="0" style="71" hidden="1" customWidth="1"/>
    <col min="11777" max="12025" width="9" style="71"/>
    <col min="12026" max="12026" width="24.25" style="71" customWidth="1"/>
    <col min="12027" max="12031" width="10.375" style="71" customWidth="1"/>
    <col min="12032" max="12032" width="0" style="71" hidden="1" customWidth="1"/>
    <col min="12033" max="12281" width="9" style="71"/>
    <col min="12282" max="12282" width="24.25" style="71" customWidth="1"/>
    <col min="12283" max="12287" width="10.375" style="71" customWidth="1"/>
    <col min="12288" max="12288" width="0" style="71" hidden="1" customWidth="1"/>
    <col min="12289" max="12537" width="9" style="71"/>
    <col min="12538" max="12538" width="24.25" style="71" customWidth="1"/>
    <col min="12539" max="12543" width="10.375" style="71" customWidth="1"/>
    <col min="12544" max="12544" width="0" style="71" hidden="1" customWidth="1"/>
    <col min="12545" max="12793" width="9" style="71"/>
    <col min="12794" max="12794" width="24.25" style="71" customWidth="1"/>
    <col min="12795" max="12799" width="10.375" style="71" customWidth="1"/>
    <col min="12800" max="12800" width="0" style="71" hidden="1" customWidth="1"/>
    <col min="12801" max="13049" width="9" style="71"/>
    <col min="13050" max="13050" width="24.25" style="71" customWidth="1"/>
    <col min="13051" max="13055" width="10.375" style="71" customWidth="1"/>
    <col min="13056" max="13056" width="0" style="71" hidden="1" customWidth="1"/>
    <col min="13057" max="13305" width="9" style="71"/>
    <col min="13306" max="13306" width="24.25" style="71" customWidth="1"/>
    <col min="13307" max="13311" width="10.375" style="71" customWidth="1"/>
    <col min="13312" max="13312" width="0" style="71" hidden="1" customWidth="1"/>
    <col min="13313" max="13561" width="9" style="71"/>
    <col min="13562" max="13562" width="24.25" style="71" customWidth="1"/>
    <col min="13563" max="13567" width="10.375" style="71" customWidth="1"/>
    <col min="13568" max="13568" width="0" style="71" hidden="1" customWidth="1"/>
    <col min="13569" max="13817" width="9" style="71"/>
    <col min="13818" max="13818" width="24.25" style="71" customWidth="1"/>
    <col min="13819" max="13823" width="10.375" style="71" customWidth="1"/>
    <col min="13824" max="13824" width="0" style="71" hidden="1" customWidth="1"/>
    <col min="13825" max="14073" width="9" style="71"/>
    <col min="14074" max="14074" width="24.25" style="71" customWidth="1"/>
    <col min="14075" max="14079" width="10.375" style="71" customWidth="1"/>
    <col min="14080" max="14080" width="0" style="71" hidden="1" customWidth="1"/>
    <col min="14081" max="14329" width="9" style="71"/>
    <col min="14330" max="14330" width="24.25" style="71" customWidth="1"/>
    <col min="14331" max="14335" width="10.375" style="71" customWidth="1"/>
    <col min="14336" max="14336" width="0" style="71" hidden="1" customWidth="1"/>
    <col min="14337" max="14585" width="9" style="71"/>
    <col min="14586" max="14586" width="24.25" style="71" customWidth="1"/>
    <col min="14587" max="14591" width="10.375" style="71" customWidth="1"/>
    <col min="14592" max="14592" width="0" style="71" hidden="1" customWidth="1"/>
    <col min="14593" max="14841" width="9" style="71"/>
    <col min="14842" max="14842" width="24.25" style="71" customWidth="1"/>
    <col min="14843" max="14847" width="10.375" style="71" customWidth="1"/>
    <col min="14848" max="14848" width="0" style="71" hidden="1" customWidth="1"/>
    <col min="14849" max="15097" width="9" style="71"/>
    <col min="15098" max="15098" width="24.25" style="71" customWidth="1"/>
    <col min="15099" max="15103" width="10.375" style="71" customWidth="1"/>
    <col min="15104" max="15104" width="0" style="71" hidden="1" customWidth="1"/>
    <col min="15105" max="15353" width="9" style="71"/>
    <col min="15354" max="15354" width="24.25" style="71" customWidth="1"/>
    <col min="15355" max="15359" width="10.375" style="71" customWidth="1"/>
    <col min="15360" max="15360" width="0" style="71" hidden="1" customWidth="1"/>
    <col min="15361" max="15609" width="9" style="71"/>
    <col min="15610" max="15610" width="24.25" style="71" customWidth="1"/>
    <col min="15611" max="15615" width="10.375" style="71" customWidth="1"/>
    <col min="15616" max="15616" width="0" style="71" hidden="1" customWidth="1"/>
    <col min="15617" max="15865" width="9" style="71"/>
    <col min="15866" max="15866" width="24.25" style="71" customWidth="1"/>
    <col min="15867" max="15871" width="10.375" style="71" customWidth="1"/>
    <col min="15872" max="15872" width="0" style="71" hidden="1" customWidth="1"/>
    <col min="15873" max="16121" width="9" style="71"/>
    <col min="16122" max="16122" width="24.25" style="71" customWidth="1"/>
    <col min="16123" max="16127" width="10.375" style="71" customWidth="1"/>
    <col min="16128" max="16128" width="0" style="71" hidden="1" customWidth="1"/>
    <col min="16129" max="16384" width="9" style="71"/>
  </cols>
  <sheetData>
    <row r="1" spans="1:10" ht="27.75" customHeight="1">
      <c r="A1" s="69" t="s">
        <v>586</v>
      </c>
      <c r="B1" s="70"/>
      <c r="C1" s="70"/>
    </row>
    <row r="2" spans="1:10" ht="35.1" customHeight="1">
      <c r="A2" s="305" t="s">
        <v>552</v>
      </c>
      <c r="B2" s="305"/>
      <c r="C2" s="305"/>
      <c r="D2" s="305"/>
      <c r="E2" s="305"/>
      <c r="F2" s="305"/>
      <c r="G2" s="305"/>
      <c r="H2" s="305"/>
    </row>
    <row r="3" spans="1:10" ht="32.25" customHeight="1">
      <c r="A3" s="306" t="s">
        <v>107</v>
      </c>
      <c r="B3" s="306"/>
      <c r="C3" s="306"/>
      <c r="D3" s="306"/>
      <c r="E3" s="306"/>
      <c r="F3" s="306"/>
      <c r="G3" s="306"/>
      <c r="H3" s="306"/>
    </row>
    <row r="4" spans="1:10" s="72" customFormat="1" ht="45" customHeight="1">
      <c r="A4" s="74" t="s">
        <v>160</v>
      </c>
      <c r="B4" s="74" t="s">
        <v>161</v>
      </c>
      <c r="C4" s="75" t="s">
        <v>162</v>
      </c>
      <c r="D4" s="75" t="s">
        <v>163</v>
      </c>
      <c r="E4" s="75" t="s">
        <v>578</v>
      </c>
      <c r="F4" s="75" t="s">
        <v>164</v>
      </c>
      <c r="G4" s="76" t="s">
        <v>165</v>
      </c>
      <c r="H4" s="75" t="s">
        <v>166</v>
      </c>
    </row>
    <row r="5" spans="1:10" s="80" customFormat="1" ht="45" customHeight="1">
      <c r="A5" s="77" t="s">
        <v>167</v>
      </c>
      <c r="B5" s="78">
        <f>B6+B12</f>
        <v>310318</v>
      </c>
      <c r="C5" s="78">
        <f>C6+C12</f>
        <v>310318</v>
      </c>
      <c r="D5" s="78">
        <f>D6+D12</f>
        <v>209374</v>
      </c>
      <c r="E5" s="78">
        <f>E6+E12</f>
        <v>220363</v>
      </c>
      <c r="F5" s="79">
        <f>E5/D5</f>
        <v>1.0524850267941579</v>
      </c>
      <c r="G5" s="78">
        <f>G6+G12</f>
        <v>201851</v>
      </c>
      <c r="H5" s="79">
        <f>E5/G5-1</f>
        <v>9.1711212726218738E-2</v>
      </c>
    </row>
    <row r="6" spans="1:10" s="70" customFormat="1" ht="45" customHeight="1">
      <c r="A6" s="81" t="s">
        <v>168</v>
      </c>
      <c r="B6" s="77">
        <f>B7+B8</f>
        <v>113727</v>
      </c>
      <c r="C6" s="77">
        <f>C7+C8</f>
        <v>113727</v>
      </c>
      <c r="D6" s="78">
        <f>D7+D8</f>
        <v>104683</v>
      </c>
      <c r="E6" s="75">
        <f>E7+E8</f>
        <v>107279</v>
      </c>
      <c r="F6" s="79">
        <f t="shared" ref="F6:F17" si="0">E6/D6</f>
        <v>1.0247986779133194</v>
      </c>
      <c r="G6" s="75">
        <f>G7+G8</f>
        <v>108830</v>
      </c>
      <c r="H6" s="79">
        <f t="shared" ref="H6:H18" si="1">E6/G6-1</f>
        <v>-1.4251585040889414E-2</v>
      </c>
    </row>
    <row r="7" spans="1:10" s="85" customFormat="1" ht="45" customHeight="1">
      <c r="A7" s="82" t="s">
        <v>169</v>
      </c>
      <c r="B7" s="83">
        <v>80896</v>
      </c>
      <c r="C7" s="83">
        <v>80896</v>
      </c>
      <c r="D7" s="83">
        <v>73080</v>
      </c>
      <c r="E7" s="83">
        <v>74213</v>
      </c>
      <c r="F7" s="84">
        <f t="shared" si="0"/>
        <v>1.0155035577449369</v>
      </c>
      <c r="G7" s="83">
        <v>76317</v>
      </c>
      <c r="H7" s="84">
        <f t="shared" si="1"/>
        <v>-2.7569217867578599E-2</v>
      </c>
    </row>
    <row r="8" spans="1:10" s="85" customFormat="1" ht="45" customHeight="1">
      <c r="A8" s="82" t="s">
        <v>170</v>
      </c>
      <c r="B8" s="83">
        <f>B9+B10</f>
        <v>32831</v>
      </c>
      <c r="C8" s="83">
        <f t="shared" ref="C8:E8" si="2">C9+C10</f>
        <v>32831</v>
      </c>
      <c r="D8" s="83">
        <f t="shared" si="2"/>
        <v>31603</v>
      </c>
      <c r="E8" s="83">
        <f t="shared" si="2"/>
        <v>33066</v>
      </c>
      <c r="F8" s="84">
        <f t="shared" si="0"/>
        <v>1.0462930734423947</v>
      </c>
      <c r="G8" s="83">
        <f>G9+G10</f>
        <v>32513</v>
      </c>
      <c r="H8" s="84">
        <f t="shared" si="1"/>
        <v>1.7008581182911486E-2</v>
      </c>
    </row>
    <row r="9" spans="1:10" s="85" customFormat="1" ht="45" customHeight="1">
      <c r="A9" s="82" t="s">
        <v>171</v>
      </c>
      <c r="B9" s="83">
        <v>5000</v>
      </c>
      <c r="C9" s="83">
        <v>5000</v>
      </c>
      <c r="D9" s="83">
        <v>4097</v>
      </c>
      <c r="E9" s="83">
        <v>4336</v>
      </c>
      <c r="F9" s="84">
        <f t="shared" si="0"/>
        <v>1.0583353673419575</v>
      </c>
      <c r="G9" s="83">
        <v>5007</v>
      </c>
      <c r="H9" s="84">
        <f t="shared" si="1"/>
        <v>-0.13401238266427007</v>
      </c>
    </row>
    <row r="10" spans="1:10" ht="45" customHeight="1">
      <c r="A10" s="82" t="s">
        <v>172</v>
      </c>
      <c r="B10" s="83">
        <v>27831</v>
      </c>
      <c r="C10" s="83">
        <v>27831</v>
      </c>
      <c r="D10" s="83">
        <v>27506</v>
      </c>
      <c r="E10" s="83">
        <v>28730</v>
      </c>
      <c r="F10" s="84">
        <f t="shared" si="0"/>
        <v>1.0444993819530284</v>
      </c>
      <c r="G10" s="83">
        <v>27506</v>
      </c>
      <c r="H10" s="84">
        <f t="shared" si="1"/>
        <v>4.4499381953028383E-2</v>
      </c>
    </row>
    <row r="11" spans="1:10" ht="45" customHeight="1">
      <c r="A11" s="86" t="s">
        <v>173</v>
      </c>
      <c r="B11" s="84">
        <f>B8/B6</f>
        <v>0.28868254680067179</v>
      </c>
      <c r="C11" s="84">
        <f>C8/C6</f>
        <v>0.28868254680067179</v>
      </c>
      <c r="D11" s="84">
        <f>D8/D6</f>
        <v>0.30189237985155182</v>
      </c>
      <c r="E11" s="84">
        <f>E8/E6</f>
        <v>0.30822434959311701</v>
      </c>
      <c r="F11" s="84">
        <f t="shared" si="0"/>
        <v>1.0209742615718846</v>
      </c>
      <c r="G11" s="84">
        <f>G8/G6</f>
        <v>0.29875034457410643</v>
      </c>
      <c r="H11" s="84">
        <f t="shared" si="1"/>
        <v>3.171211411493613E-2</v>
      </c>
    </row>
    <row r="12" spans="1:10" s="80" customFormat="1" ht="45" customHeight="1">
      <c r="A12" s="81" t="s">
        <v>174</v>
      </c>
      <c r="B12" s="77">
        <f>SUM(B13:B18)</f>
        <v>196591</v>
      </c>
      <c r="C12" s="77">
        <f>SUM(C13:C18)</f>
        <v>196591</v>
      </c>
      <c r="D12" s="78">
        <f>SUM(D13:D18)</f>
        <v>104691</v>
      </c>
      <c r="E12" s="78">
        <f>SUM(E13:E18)</f>
        <v>113084</v>
      </c>
      <c r="F12" s="79">
        <f t="shared" si="0"/>
        <v>1.0801692600127997</v>
      </c>
      <c r="G12" s="78">
        <f>SUM(G13:G18)</f>
        <v>93021</v>
      </c>
      <c r="H12" s="79">
        <f t="shared" si="1"/>
        <v>0.21568248030014736</v>
      </c>
      <c r="J12" s="70"/>
    </row>
    <row r="13" spans="1:10" s="80" customFormat="1" ht="45.75" customHeight="1">
      <c r="A13" s="87" t="s">
        <v>572</v>
      </c>
      <c r="B13" s="83">
        <v>180000</v>
      </c>
      <c r="C13" s="83">
        <v>180000</v>
      </c>
      <c r="D13" s="83">
        <v>87560</v>
      </c>
      <c r="E13" s="83">
        <v>95694</v>
      </c>
      <c r="F13" s="84">
        <f>E13/D13</f>
        <v>1.0928962996802192</v>
      </c>
      <c r="G13" s="83">
        <v>54932</v>
      </c>
      <c r="H13" s="84">
        <f t="shared" si="1"/>
        <v>0.74204470982305404</v>
      </c>
      <c r="J13" s="70"/>
    </row>
    <row r="14" spans="1:10" ht="45.75" customHeight="1">
      <c r="A14" s="87" t="s">
        <v>573</v>
      </c>
      <c r="B14" s="83">
        <v>14391</v>
      </c>
      <c r="C14" s="83">
        <v>14391</v>
      </c>
      <c r="D14" s="83">
        <v>15100</v>
      </c>
      <c r="E14" s="83">
        <v>15469</v>
      </c>
      <c r="F14" s="84">
        <f t="shared" si="0"/>
        <v>1.0244370860927152</v>
      </c>
      <c r="G14" s="83">
        <v>35945</v>
      </c>
      <c r="H14" s="84">
        <f t="shared" si="1"/>
        <v>-0.5696480734455418</v>
      </c>
    </row>
    <row r="15" spans="1:10" ht="45.75" customHeight="1">
      <c r="A15" s="87" t="s">
        <v>574</v>
      </c>
      <c r="B15" s="83">
        <v>200</v>
      </c>
      <c r="C15" s="83">
        <v>200</v>
      </c>
      <c r="D15" s="83">
        <v>200</v>
      </c>
      <c r="E15" s="83">
        <v>337</v>
      </c>
      <c r="F15" s="84">
        <f t="shared" si="0"/>
        <v>1.6850000000000001</v>
      </c>
      <c r="G15" s="83">
        <v>177</v>
      </c>
      <c r="H15" s="84">
        <f t="shared" si="1"/>
        <v>0.90395480225988711</v>
      </c>
    </row>
    <row r="16" spans="1:10" ht="45.75" customHeight="1">
      <c r="A16" s="87" t="s">
        <v>575</v>
      </c>
      <c r="B16" s="83">
        <v>300</v>
      </c>
      <c r="C16" s="83">
        <v>300</v>
      </c>
      <c r="D16" s="83">
        <v>337</v>
      </c>
      <c r="E16" s="83"/>
      <c r="F16" s="84">
        <f t="shared" si="0"/>
        <v>0</v>
      </c>
      <c r="G16" s="83">
        <v>286</v>
      </c>
      <c r="H16" s="84">
        <f t="shared" si="1"/>
        <v>-1</v>
      </c>
    </row>
    <row r="17" spans="1:8" ht="45.75" customHeight="1">
      <c r="A17" s="87" t="s">
        <v>576</v>
      </c>
      <c r="B17" s="83">
        <v>1300</v>
      </c>
      <c r="C17" s="83">
        <v>1300</v>
      </c>
      <c r="D17" s="83">
        <v>1494</v>
      </c>
      <c r="E17" s="83">
        <v>1584</v>
      </c>
      <c r="F17" s="84">
        <f t="shared" si="0"/>
        <v>1.0602409638554218</v>
      </c>
      <c r="G17" s="83">
        <v>1305</v>
      </c>
      <c r="H17" s="84">
        <f t="shared" si="1"/>
        <v>0.21379310344827585</v>
      </c>
    </row>
    <row r="18" spans="1:8" ht="45.75" customHeight="1">
      <c r="A18" s="87" t="s">
        <v>577</v>
      </c>
      <c r="B18" s="83">
        <v>400</v>
      </c>
      <c r="C18" s="83">
        <v>400</v>
      </c>
      <c r="D18" s="83"/>
      <c r="E18" s="83"/>
      <c r="F18" s="84"/>
      <c r="G18" s="83">
        <v>376</v>
      </c>
      <c r="H18" s="84">
        <f t="shared" si="1"/>
        <v>-1</v>
      </c>
    </row>
    <row r="19" spans="1:8">
      <c r="A19" s="88"/>
      <c r="B19" s="88"/>
      <c r="C19" s="88"/>
      <c r="D19" s="88"/>
      <c r="E19" s="89"/>
      <c r="F19" s="88"/>
      <c r="G19" s="90"/>
      <c r="H19" s="90"/>
    </row>
    <row r="20" spans="1:8">
      <c r="A20" s="88"/>
      <c r="B20" s="88"/>
      <c r="C20" s="88"/>
      <c r="D20" s="88"/>
      <c r="E20" s="89"/>
      <c r="F20" s="88"/>
      <c r="G20" s="90"/>
      <c r="H20" s="90"/>
    </row>
  </sheetData>
  <mergeCells count="2">
    <mergeCell ref="A2:H2"/>
    <mergeCell ref="A3:H3"/>
  </mergeCells>
  <phoneticPr fontId="5" type="noConversion"/>
  <printOptions horizontalCentered="1"/>
  <pageMargins left="0.59055118110236227" right="0.59055118110236227" top="0.59055118110236227" bottom="0.59055118110236227" header="0.31496062992125984" footer="0.31496062992125984"/>
  <pageSetup paperSize="9" scale="86" fitToHeight="0" orientation="portrait"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M35"/>
  <sheetViews>
    <sheetView workbookViewId="0">
      <pane ySplit="5" topLeftCell="A6" activePane="bottomLeft" state="frozen"/>
      <selection pane="bottomLeft" activeCell="B33" sqref="B33"/>
    </sheetView>
  </sheetViews>
  <sheetFormatPr defaultRowHeight="12"/>
  <cols>
    <col min="1" max="1" width="29.875" style="68" customWidth="1"/>
    <col min="2" max="5" width="16.125" style="35" customWidth="1"/>
    <col min="6" max="6" width="9" style="35"/>
    <col min="7" max="7" width="39.875" style="35" hidden="1" customWidth="1"/>
    <col min="8" max="8" width="12.5" style="35" hidden="1" customWidth="1"/>
    <col min="9" max="11" width="9" style="35" hidden="1" customWidth="1"/>
    <col min="12" max="12" width="9" style="35"/>
    <col min="13" max="14" width="10.375" style="35" customWidth="1"/>
    <col min="15" max="248" width="9" style="35"/>
    <col min="249" max="249" width="29.875" style="35" customWidth="1"/>
    <col min="250" max="250" width="14.625" style="35" customWidth="1"/>
    <col min="251" max="252" width="0" style="35" hidden="1" customWidth="1"/>
    <col min="253" max="253" width="13.25" style="35" customWidth="1"/>
    <col min="254" max="257" width="0" style="35" hidden="1" customWidth="1"/>
    <col min="258" max="258" width="12.5" style="35" customWidth="1"/>
    <col min="259" max="259" width="14.125" style="35" customWidth="1"/>
    <col min="260" max="504" width="9" style="35"/>
    <col min="505" max="505" width="29.875" style="35" customWidth="1"/>
    <col min="506" max="506" width="14.625" style="35" customWidth="1"/>
    <col min="507" max="508" width="0" style="35" hidden="1" customWidth="1"/>
    <col min="509" max="509" width="13.25" style="35" customWidth="1"/>
    <col min="510" max="513" width="0" style="35" hidden="1" customWidth="1"/>
    <col min="514" max="514" width="12.5" style="35" customWidth="1"/>
    <col min="515" max="515" width="14.125" style="35" customWidth="1"/>
    <col min="516" max="760" width="9" style="35"/>
    <col min="761" max="761" width="29.875" style="35" customWidth="1"/>
    <col min="762" max="762" width="14.625" style="35" customWidth="1"/>
    <col min="763" max="764" width="0" style="35" hidden="1" customWidth="1"/>
    <col min="765" max="765" width="13.25" style="35" customWidth="1"/>
    <col min="766" max="769" width="0" style="35" hidden="1" customWidth="1"/>
    <col min="770" max="770" width="12.5" style="35" customWidth="1"/>
    <col min="771" max="771" width="14.125" style="35" customWidth="1"/>
    <col min="772" max="1016" width="9" style="35"/>
    <col min="1017" max="1017" width="29.875" style="35" customWidth="1"/>
    <col min="1018" max="1018" width="14.625" style="35" customWidth="1"/>
    <col min="1019" max="1020" width="0" style="35" hidden="1" customWidth="1"/>
    <col min="1021" max="1021" width="13.25" style="35" customWidth="1"/>
    <col min="1022" max="1025" width="0" style="35" hidden="1" customWidth="1"/>
    <col min="1026" max="1026" width="12.5" style="35" customWidth="1"/>
    <col min="1027" max="1027" width="14.125" style="35" customWidth="1"/>
    <col min="1028" max="1272" width="9" style="35"/>
    <col min="1273" max="1273" width="29.875" style="35" customWidth="1"/>
    <col min="1274" max="1274" width="14.625" style="35" customWidth="1"/>
    <col min="1275" max="1276" width="0" style="35" hidden="1" customWidth="1"/>
    <col min="1277" max="1277" width="13.25" style="35" customWidth="1"/>
    <col min="1278" max="1281" width="0" style="35" hidden="1" customWidth="1"/>
    <col min="1282" max="1282" width="12.5" style="35" customWidth="1"/>
    <col min="1283" max="1283" width="14.125" style="35" customWidth="1"/>
    <col min="1284" max="1528" width="9" style="35"/>
    <col min="1529" max="1529" width="29.875" style="35" customWidth="1"/>
    <col min="1530" max="1530" width="14.625" style="35" customWidth="1"/>
    <col min="1531" max="1532" width="0" style="35" hidden="1" customWidth="1"/>
    <col min="1533" max="1533" width="13.25" style="35" customWidth="1"/>
    <col min="1534" max="1537" width="0" style="35" hidden="1" customWidth="1"/>
    <col min="1538" max="1538" width="12.5" style="35" customWidth="1"/>
    <col min="1539" max="1539" width="14.125" style="35" customWidth="1"/>
    <col min="1540" max="1784" width="9" style="35"/>
    <col min="1785" max="1785" width="29.875" style="35" customWidth="1"/>
    <col min="1786" max="1786" width="14.625" style="35" customWidth="1"/>
    <col min="1787" max="1788" width="0" style="35" hidden="1" customWidth="1"/>
    <col min="1789" max="1789" width="13.25" style="35" customWidth="1"/>
    <col min="1790" max="1793" width="0" style="35" hidden="1" customWidth="1"/>
    <col min="1794" max="1794" width="12.5" style="35" customWidth="1"/>
    <col min="1795" max="1795" width="14.125" style="35" customWidth="1"/>
    <col min="1796" max="2040" width="9" style="35"/>
    <col min="2041" max="2041" width="29.875" style="35" customWidth="1"/>
    <col min="2042" max="2042" width="14.625" style="35" customWidth="1"/>
    <col min="2043" max="2044" width="0" style="35" hidden="1" customWidth="1"/>
    <col min="2045" max="2045" width="13.25" style="35" customWidth="1"/>
    <col min="2046" max="2049" width="0" style="35" hidden="1" customWidth="1"/>
    <col min="2050" max="2050" width="12.5" style="35" customWidth="1"/>
    <col min="2051" max="2051" width="14.125" style="35" customWidth="1"/>
    <col min="2052" max="2296" width="9" style="35"/>
    <col min="2297" max="2297" width="29.875" style="35" customWidth="1"/>
    <col min="2298" max="2298" width="14.625" style="35" customWidth="1"/>
    <col min="2299" max="2300" width="0" style="35" hidden="1" customWidth="1"/>
    <col min="2301" max="2301" width="13.25" style="35" customWidth="1"/>
    <col min="2302" max="2305" width="0" style="35" hidden="1" customWidth="1"/>
    <col min="2306" max="2306" width="12.5" style="35" customWidth="1"/>
    <col min="2307" max="2307" width="14.125" style="35" customWidth="1"/>
    <col min="2308" max="2552" width="9" style="35"/>
    <col min="2553" max="2553" width="29.875" style="35" customWidth="1"/>
    <col min="2554" max="2554" width="14.625" style="35" customWidth="1"/>
    <col min="2555" max="2556" width="0" style="35" hidden="1" customWidth="1"/>
    <col min="2557" max="2557" width="13.25" style="35" customWidth="1"/>
    <col min="2558" max="2561" width="0" style="35" hidden="1" customWidth="1"/>
    <col min="2562" max="2562" width="12.5" style="35" customWidth="1"/>
    <col min="2563" max="2563" width="14.125" style="35" customWidth="1"/>
    <col min="2564" max="2808" width="9" style="35"/>
    <col min="2809" max="2809" width="29.875" style="35" customWidth="1"/>
    <col min="2810" max="2810" width="14.625" style="35" customWidth="1"/>
    <col min="2811" max="2812" width="0" style="35" hidden="1" customWidth="1"/>
    <col min="2813" max="2813" width="13.25" style="35" customWidth="1"/>
    <col min="2814" max="2817" width="0" style="35" hidden="1" customWidth="1"/>
    <col min="2818" max="2818" width="12.5" style="35" customWidth="1"/>
    <col min="2819" max="2819" width="14.125" style="35" customWidth="1"/>
    <col min="2820" max="3064" width="9" style="35"/>
    <col min="3065" max="3065" width="29.875" style="35" customWidth="1"/>
    <col min="3066" max="3066" width="14.625" style="35" customWidth="1"/>
    <col min="3067" max="3068" width="0" style="35" hidden="1" customWidth="1"/>
    <col min="3069" max="3069" width="13.25" style="35" customWidth="1"/>
    <col min="3070" max="3073" width="0" style="35" hidden="1" customWidth="1"/>
    <col min="3074" max="3074" width="12.5" style="35" customWidth="1"/>
    <col min="3075" max="3075" width="14.125" style="35" customWidth="1"/>
    <col min="3076" max="3320" width="9" style="35"/>
    <col min="3321" max="3321" width="29.875" style="35" customWidth="1"/>
    <col min="3322" max="3322" width="14.625" style="35" customWidth="1"/>
    <col min="3323" max="3324" width="0" style="35" hidden="1" customWidth="1"/>
    <col min="3325" max="3325" width="13.25" style="35" customWidth="1"/>
    <col min="3326" max="3329" width="0" style="35" hidden="1" customWidth="1"/>
    <col min="3330" max="3330" width="12.5" style="35" customWidth="1"/>
    <col min="3331" max="3331" width="14.125" style="35" customWidth="1"/>
    <col min="3332" max="3576" width="9" style="35"/>
    <col min="3577" max="3577" width="29.875" style="35" customWidth="1"/>
    <col min="3578" max="3578" width="14.625" style="35" customWidth="1"/>
    <col min="3579" max="3580" width="0" style="35" hidden="1" customWidth="1"/>
    <col min="3581" max="3581" width="13.25" style="35" customWidth="1"/>
    <col min="3582" max="3585" width="0" style="35" hidden="1" customWidth="1"/>
    <col min="3586" max="3586" width="12.5" style="35" customWidth="1"/>
    <col min="3587" max="3587" width="14.125" style="35" customWidth="1"/>
    <col min="3588" max="3832" width="9" style="35"/>
    <col min="3833" max="3833" width="29.875" style="35" customWidth="1"/>
    <col min="3834" max="3834" width="14.625" style="35" customWidth="1"/>
    <col min="3835" max="3836" width="0" style="35" hidden="1" customWidth="1"/>
    <col min="3837" max="3837" width="13.25" style="35" customWidth="1"/>
    <col min="3838" max="3841" width="0" style="35" hidden="1" customWidth="1"/>
    <col min="3842" max="3842" width="12.5" style="35" customWidth="1"/>
    <col min="3843" max="3843" width="14.125" style="35" customWidth="1"/>
    <col min="3844" max="4088" width="9" style="35"/>
    <col min="4089" max="4089" width="29.875" style="35" customWidth="1"/>
    <col min="4090" max="4090" width="14.625" style="35" customWidth="1"/>
    <col min="4091" max="4092" width="0" style="35" hidden="1" customWidth="1"/>
    <col min="4093" max="4093" width="13.25" style="35" customWidth="1"/>
    <col min="4094" max="4097" width="0" style="35" hidden="1" customWidth="1"/>
    <col min="4098" max="4098" width="12.5" style="35" customWidth="1"/>
    <col min="4099" max="4099" width="14.125" style="35" customWidth="1"/>
    <col min="4100" max="4344" width="9" style="35"/>
    <col min="4345" max="4345" width="29.875" style="35" customWidth="1"/>
    <col min="4346" max="4346" width="14.625" style="35" customWidth="1"/>
    <col min="4347" max="4348" width="0" style="35" hidden="1" customWidth="1"/>
    <col min="4349" max="4349" width="13.25" style="35" customWidth="1"/>
    <col min="4350" max="4353" width="0" style="35" hidden="1" customWidth="1"/>
    <col min="4354" max="4354" width="12.5" style="35" customWidth="1"/>
    <col min="4355" max="4355" width="14.125" style="35" customWidth="1"/>
    <col min="4356" max="4600" width="9" style="35"/>
    <col min="4601" max="4601" width="29.875" style="35" customWidth="1"/>
    <col min="4602" max="4602" width="14.625" style="35" customWidth="1"/>
    <col min="4603" max="4604" width="0" style="35" hidden="1" customWidth="1"/>
    <col min="4605" max="4605" width="13.25" style="35" customWidth="1"/>
    <col min="4606" max="4609" width="0" style="35" hidden="1" customWidth="1"/>
    <col min="4610" max="4610" width="12.5" style="35" customWidth="1"/>
    <col min="4611" max="4611" width="14.125" style="35" customWidth="1"/>
    <col min="4612" max="4856" width="9" style="35"/>
    <col min="4857" max="4857" width="29.875" style="35" customWidth="1"/>
    <col min="4858" max="4858" width="14.625" style="35" customWidth="1"/>
    <col min="4859" max="4860" width="0" style="35" hidden="1" customWidth="1"/>
    <col min="4861" max="4861" width="13.25" style="35" customWidth="1"/>
    <col min="4862" max="4865" width="0" style="35" hidden="1" customWidth="1"/>
    <col min="4866" max="4866" width="12.5" style="35" customWidth="1"/>
    <col min="4867" max="4867" width="14.125" style="35" customWidth="1"/>
    <col min="4868" max="5112" width="9" style="35"/>
    <col min="5113" max="5113" width="29.875" style="35" customWidth="1"/>
    <col min="5114" max="5114" width="14.625" style="35" customWidth="1"/>
    <col min="5115" max="5116" width="0" style="35" hidden="1" customWidth="1"/>
    <col min="5117" max="5117" width="13.25" style="35" customWidth="1"/>
    <col min="5118" max="5121" width="0" style="35" hidden="1" customWidth="1"/>
    <col min="5122" max="5122" width="12.5" style="35" customWidth="1"/>
    <col min="5123" max="5123" width="14.125" style="35" customWidth="1"/>
    <col min="5124" max="5368" width="9" style="35"/>
    <col min="5369" max="5369" width="29.875" style="35" customWidth="1"/>
    <col min="5370" max="5370" width="14.625" style="35" customWidth="1"/>
    <col min="5371" max="5372" width="0" style="35" hidden="1" customWidth="1"/>
    <col min="5373" max="5373" width="13.25" style="35" customWidth="1"/>
    <col min="5374" max="5377" width="0" style="35" hidden="1" customWidth="1"/>
    <col min="5378" max="5378" width="12.5" style="35" customWidth="1"/>
    <col min="5379" max="5379" width="14.125" style="35" customWidth="1"/>
    <col min="5380" max="5624" width="9" style="35"/>
    <col min="5625" max="5625" width="29.875" style="35" customWidth="1"/>
    <col min="5626" max="5626" width="14.625" style="35" customWidth="1"/>
    <col min="5627" max="5628" width="0" style="35" hidden="1" customWidth="1"/>
    <col min="5629" max="5629" width="13.25" style="35" customWidth="1"/>
    <col min="5630" max="5633" width="0" style="35" hidden="1" customWidth="1"/>
    <col min="5634" max="5634" width="12.5" style="35" customWidth="1"/>
    <col min="5635" max="5635" width="14.125" style="35" customWidth="1"/>
    <col min="5636" max="5880" width="9" style="35"/>
    <col min="5881" max="5881" width="29.875" style="35" customWidth="1"/>
    <col min="5882" max="5882" width="14.625" style="35" customWidth="1"/>
    <col min="5883" max="5884" width="0" style="35" hidden="1" customWidth="1"/>
    <col min="5885" max="5885" width="13.25" style="35" customWidth="1"/>
    <col min="5886" max="5889" width="0" style="35" hidden="1" customWidth="1"/>
    <col min="5890" max="5890" width="12.5" style="35" customWidth="1"/>
    <col min="5891" max="5891" width="14.125" style="35" customWidth="1"/>
    <col min="5892" max="6136" width="9" style="35"/>
    <col min="6137" max="6137" width="29.875" style="35" customWidth="1"/>
    <col min="6138" max="6138" width="14.625" style="35" customWidth="1"/>
    <col min="6139" max="6140" width="0" style="35" hidden="1" customWidth="1"/>
    <col min="6141" max="6141" width="13.25" style="35" customWidth="1"/>
    <col min="6142" max="6145" width="0" style="35" hidden="1" customWidth="1"/>
    <col min="6146" max="6146" width="12.5" style="35" customWidth="1"/>
    <col min="6147" max="6147" width="14.125" style="35" customWidth="1"/>
    <col min="6148" max="6392" width="9" style="35"/>
    <col min="6393" max="6393" width="29.875" style="35" customWidth="1"/>
    <col min="6394" max="6394" width="14.625" style="35" customWidth="1"/>
    <col min="6395" max="6396" width="0" style="35" hidden="1" customWidth="1"/>
    <col min="6397" max="6397" width="13.25" style="35" customWidth="1"/>
    <col min="6398" max="6401" width="0" style="35" hidden="1" customWidth="1"/>
    <col min="6402" max="6402" width="12.5" style="35" customWidth="1"/>
    <col min="6403" max="6403" width="14.125" style="35" customWidth="1"/>
    <col min="6404" max="6648" width="9" style="35"/>
    <col min="6649" max="6649" width="29.875" style="35" customWidth="1"/>
    <col min="6650" max="6650" width="14.625" style="35" customWidth="1"/>
    <col min="6651" max="6652" width="0" style="35" hidden="1" customWidth="1"/>
    <col min="6653" max="6653" width="13.25" style="35" customWidth="1"/>
    <col min="6654" max="6657" width="0" style="35" hidden="1" customWidth="1"/>
    <col min="6658" max="6658" width="12.5" style="35" customWidth="1"/>
    <col min="6659" max="6659" width="14.125" style="35" customWidth="1"/>
    <col min="6660" max="6904" width="9" style="35"/>
    <col min="6905" max="6905" width="29.875" style="35" customWidth="1"/>
    <col min="6906" max="6906" width="14.625" style="35" customWidth="1"/>
    <col min="6907" max="6908" width="0" style="35" hidden="1" customWidth="1"/>
    <col min="6909" max="6909" width="13.25" style="35" customWidth="1"/>
    <col min="6910" max="6913" width="0" style="35" hidden="1" customWidth="1"/>
    <col min="6914" max="6914" width="12.5" style="35" customWidth="1"/>
    <col min="6915" max="6915" width="14.125" style="35" customWidth="1"/>
    <col min="6916" max="7160" width="9" style="35"/>
    <col min="7161" max="7161" width="29.875" style="35" customWidth="1"/>
    <col min="7162" max="7162" width="14.625" style="35" customWidth="1"/>
    <col min="7163" max="7164" width="0" style="35" hidden="1" customWidth="1"/>
    <col min="7165" max="7165" width="13.25" style="35" customWidth="1"/>
    <col min="7166" max="7169" width="0" style="35" hidden="1" customWidth="1"/>
    <col min="7170" max="7170" width="12.5" style="35" customWidth="1"/>
    <col min="7171" max="7171" width="14.125" style="35" customWidth="1"/>
    <col min="7172" max="7416" width="9" style="35"/>
    <col min="7417" max="7417" width="29.875" style="35" customWidth="1"/>
    <col min="7418" max="7418" width="14.625" style="35" customWidth="1"/>
    <col min="7419" max="7420" width="0" style="35" hidden="1" customWidth="1"/>
    <col min="7421" max="7421" width="13.25" style="35" customWidth="1"/>
    <col min="7422" max="7425" width="0" style="35" hidden="1" customWidth="1"/>
    <col min="7426" max="7426" width="12.5" style="35" customWidth="1"/>
    <col min="7427" max="7427" width="14.125" style="35" customWidth="1"/>
    <col min="7428" max="7672" width="9" style="35"/>
    <col min="7673" max="7673" width="29.875" style="35" customWidth="1"/>
    <col min="7674" max="7674" width="14.625" style="35" customWidth="1"/>
    <col min="7675" max="7676" width="0" style="35" hidden="1" customWidth="1"/>
    <col min="7677" max="7677" width="13.25" style="35" customWidth="1"/>
    <col min="7678" max="7681" width="0" style="35" hidden="1" customWidth="1"/>
    <col min="7682" max="7682" width="12.5" style="35" customWidth="1"/>
    <col min="7683" max="7683" width="14.125" style="35" customWidth="1"/>
    <col min="7684" max="7928" width="9" style="35"/>
    <col min="7929" max="7929" width="29.875" style="35" customWidth="1"/>
    <col min="7930" max="7930" width="14.625" style="35" customWidth="1"/>
    <col min="7931" max="7932" width="0" style="35" hidden="1" customWidth="1"/>
    <col min="7933" max="7933" width="13.25" style="35" customWidth="1"/>
    <col min="7934" max="7937" width="0" style="35" hidden="1" customWidth="1"/>
    <col min="7938" max="7938" width="12.5" style="35" customWidth="1"/>
    <col min="7939" max="7939" width="14.125" style="35" customWidth="1"/>
    <col min="7940" max="8184" width="9" style="35"/>
    <col min="8185" max="8185" width="29.875" style="35" customWidth="1"/>
    <col min="8186" max="8186" width="14.625" style="35" customWidth="1"/>
    <col min="8187" max="8188" width="0" style="35" hidden="1" customWidth="1"/>
    <col min="8189" max="8189" width="13.25" style="35" customWidth="1"/>
    <col min="8190" max="8193" width="0" style="35" hidden="1" customWidth="1"/>
    <col min="8194" max="8194" width="12.5" style="35" customWidth="1"/>
    <col min="8195" max="8195" width="14.125" style="35" customWidth="1"/>
    <col min="8196" max="8440" width="9" style="35"/>
    <col min="8441" max="8441" width="29.875" style="35" customWidth="1"/>
    <col min="8442" max="8442" width="14.625" style="35" customWidth="1"/>
    <col min="8443" max="8444" width="0" style="35" hidden="1" customWidth="1"/>
    <col min="8445" max="8445" width="13.25" style="35" customWidth="1"/>
    <col min="8446" max="8449" width="0" style="35" hidden="1" customWidth="1"/>
    <col min="8450" max="8450" width="12.5" style="35" customWidth="1"/>
    <col min="8451" max="8451" width="14.125" style="35" customWidth="1"/>
    <col min="8452" max="8696" width="9" style="35"/>
    <col min="8697" max="8697" width="29.875" style="35" customWidth="1"/>
    <col min="8698" max="8698" width="14.625" style="35" customWidth="1"/>
    <col min="8699" max="8700" width="0" style="35" hidden="1" customWidth="1"/>
    <col min="8701" max="8701" width="13.25" style="35" customWidth="1"/>
    <col min="8702" max="8705" width="0" style="35" hidden="1" customWidth="1"/>
    <col min="8706" max="8706" width="12.5" style="35" customWidth="1"/>
    <col min="8707" max="8707" width="14.125" style="35" customWidth="1"/>
    <col min="8708" max="8952" width="9" style="35"/>
    <col min="8953" max="8953" width="29.875" style="35" customWidth="1"/>
    <col min="8954" max="8954" width="14.625" style="35" customWidth="1"/>
    <col min="8955" max="8956" width="0" style="35" hidden="1" customWidth="1"/>
    <col min="8957" max="8957" width="13.25" style="35" customWidth="1"/>
    <col min="8958" max="8961" width="0" style="35" hidden="1" customWidth="1"/>
    <col min="8962" max="8962" width="12.5" style="35" customWidth="1"/>
    <col min="8963" max="8963" width="14.125" style="35" customWidth="1"/>
    <col min="8964" max="9208" width="9" style="35"/>
    <col min="9209" max="9209" width="29.875" style="35" customWidth="1"/>
    <col min="9210" max="9210" width="14.625" style="35" customWidth="1"/>
    <col min="9211" max="9212" width="0" style="35" hidden="1" customWidth="1"/>
    <col min="9213" max="9213" width="13.25" style="35" customWidth="1"/>
    <col min="9214" max="9217" width="0" style="35" hidden="1" customWidth="1"/>
    <col min="9218" max="9218" width="12.5" style="35" customWidth="1"/>
    <col min="9219" max="9219" width="14.125" style="35" customWidth="1"/>
    <col min="9220" max="9464" width="9" style="35"/>
    <col min="9465" max="9465" width="29.875" style="35" customWidth="1"/>
    <col min="9466" max="9466" width="14.625" style="35" customWidth="1"/>
    <col min="9467" max="9468" width="0" style="35" hidden="1" customWidth="1"/>
    <col min="9469" max="9469" width="13.25" style="35" customWidth="1"/>
    <col min="9470" max="9473" width="0" style="35" hidden="1" customWidth="1"/>
    <col min="9474" max="9474" width="12.5" style="35" customWidth="1"/>
    <col min="9475" max="9475" width="14.125" style="35" customWidth="1"/>
    <col min="9476" max="9720" width="9" style="35"/>
    <col min="9721" max="9721" width="29.875" style="35" customWidth="1"/>
    <col min="9722" max="9722" width="14.625" style="35" customWidth="1"/>
    <col min="9723" max="9724" width="0" style="35" hidden="1" customWidth="1"/>
    <col min="9725" max="9725" width="13.25" style="35" customWidth="1"/>
    <col min="9726" max="9729" width="0" style="35" hidden="1" customWidth="1"/>
    <col min="9730" max="9730" width="12.5" style="35" customWidth="1"/>
    <col min="9731" max="9731" width="14.125" style="35" customWidth="1"/>
    <col min="9732" max="9976" width="9" style="35"/>
    <col min="9977" max="9977" width="29.875" style="35" customWidth="1"/>
    <col min="9978" max="9978" width="14.625" style="35" customWidth="1"/>
    <col min="9979" max="9980" width="0" style="35" hidden="1" customWidth="1"/>
    <col min="9981" max="9981" width="13.25" style="35" customWidth="1"/>
    <col min="9982" max="9985" width="0" style="35" hidden="1" customWidth="1"/>
    <col min="9986" max="9986" width="12.5" style="35" customWidth="1"/>
    <col min="9987" max="9987" width="14.125" style="35" customWidth="1"/>
    <col min="9988" max="10232" width="9" style="35"/>
    <col min="10233" max="10233" width="29.875" style="35" customWidth="1"/>
    <col min="10234" max="10234" width="14.625" style="35" customWidth="1"/>
    <col min="10235" max="10236" width="0" style="35" hidden="1" customWidth="1"/>
    <col min="10237" max="10237" width="13.25" style="35" customWidth="1"/>
    <col min="10238" max="10241" width="0" style="35" hidden="1" customWidth="1"/>
    <col min="10242" max="10242" width="12.5" style="35" customWidth="1"/>
    <col min="10243" max="10243" width="14.125" style="35" customWidth="1"/>
    <col min="10244" max="10488" width="9" style="35"/>
    <col min="10489" max="10489" width="29.875" style="35" customWidth="1"/>
    <col min="10490" max="10490" width="14.625" style="35" customWidth="1"/>
    <col min="10491" max="10492" width="0" style="35" hidden="1" customWidth="1"/>
    <col min="10493" max="10493" width="13.25" style="35" customWidth="1"/>
    <col min="10494" max="10497" width="0" style="35" hidden="1" customWidth="1"/>
    <col min="10498" max="10498" width="12.5" style="35" customWidth="1"/>
    <col min="10499" max="10499" width="14.125" style="35" customWidth="1"/>
    <col min="10500" max="10744" width="9" style="35"/>
    <col min="10745" max="10745" width="29.875" style="35" customWidth="1"/>
    <col min="10746" max="10746" width="14.625" style="35" customWidth="1"/>
    <col min="10747" max="10748" width="0" style="35" hidden="1" customWidth="1"/>
    <col min="10749" max="10749" width="13.25" style="35" customWidth="1"/>
    <col min="10750" max="10753" width="0" style="35" hidden="1" customWidth="1"/>
    <col min="10754" max="10754" width="12.5" style="35" customWidth="1"/>
    <col min="10755" max="10755" width="14.125" style="35" customWidth="1"/>
    <col min="10756" max="11000" width="9" style="35"/>
    <col min="11001" max="11001" width="29.875" style="35" customWidth="1"/>
    <col min="11002" max="11002" width="14.625" style="35" customWidth="1"/>
    <col min="11003" max="11004" width="0" style="35" hidden="1" customWidth="1"/>
    <col min="11005" max="11005" width="13.25" style="35" customWidth="1"/>
    <col min="11006" max="11009" width="0" style="35" hidden="1" customWidth="1"/>
    <col min="11010" max="11010" width="12.5" style="35" customWidth="1"/>
    <col min="11011" max="11011" width="14.125" style="35" customWidth="1"/>
    <col min="11012" max="11256" width="9" style="35"/>
    <col min="11257" max="11257" width="29.875" style="35" customWidth="1"/>
    <col min="11258" max="11258" width="14.625" style="35" customWidth="1"/>
    <col min="11259" max="11260" width="0" style="35" hidden="1" customWidth="1"/>
    <col min="11261" max="11261" width="13.25" style="35" customWidth="1"/>
    <col min="11262" max="11265" width="0" style="35" hidden="1" customWidth="1"/>
    <col min="11266" max="11266" width="12.5" style="35" customWidth="1"/>
    <col min="11267" max="11267" width="14.125" style="35" customWidth="1"/>
    <col min="11268" max="11512" width="9" style="35"/>
    <col min="11513" max="11513" width="29.875" style="35" customWidth="1"/>
    <col min="11514" max="11514" width="14.625" style="35" customWidth="1"/>
    <col min="11515" max="11516" width="0" style="35" hidden="1" customWidth="1"/>
    <col min="11517" max="11517" width="13.25" style="35" customWidth="1"/>
    <col min="11518" max="11521" width="0" style="35" hidden="1" customWidth="1"/>
    <col min="11522" max="11522" width="12.5" style="35" customWidth="1"/>
    <col min="11523" max="11523" width="14.125" style="35" customWidth="1"/>
    <col min="11524" max="11768" width="9" style="35"/>
    <col min="11769" max="11769" width="29.875" style="35" customWidth="1"/>
    <col min="11770" max="11770" width="14.625" style="35" customWidth="1"/>
    <col min="11771" max="11772" width="0" style="35" hidden="1" customWidth="1"/>
    <col min="11773" max="11773" width="13.25" style="35" customWidth="1"/>
    <col min="11774" max="11777" width="0" style="35" hidden="1" customWidth="1"/>
    <col min="11778" max="11778" width="12.5" style="35" customWidth="1"/>
    <col min="11779" max="11779" width="14.125" style="35" customWidth="1"/>
    <col min="11780" max="12024" width="9" style="35"/>
    <col min="12025" max="12025" width="29.875" style="35" customWidth="1"/>
    <col min="12026" max="12026" width="14.625" style="35" customWidth="1"/>
    <col min="12027" max="12028" width="0" style="35" hidden="1" customWidth="1"/>
    <col min="12029" max="12029" width="13.25" style="35" customWidth="1"/>
    <col min="12030" max="12033" width="0" style="35" hidden="1" customWidth="1"/>
    <col min="12034" max="12034" width="12.5" style="35" customWidth="1"/>
    <col min="12035" max="12035" width="14.125" style="35" customWidth="1"/>
    <col min="12036" max="12280" width="9" style="35"/>
    <col min="12281" max="12281" width="29.875" style="35" customWidth="1"/>
    <col min="12282" max="12282" width="14.625" style="35" customWidth="1"/>
    <col min="12283" max="12284" width="0" style="35" hidden="1" customWidth="1"/>
    <col min="12285" max="12285" width="13.25" style="35" customWidth="1"/>
    <col min="12286" max="12289" width="0" style="35" hidden="1" customWidth="1"/>
    <col min="12290" max="12290" width="12.5" style="35" customWidth="1"/>
    <col min="12291" max="12291" width="14.125" style="35" customWidth="1"/>
    <col min="12292" max="12536" width="9" style="35"/>
    <col min="12537" max="12537" width="29.875" style="35" customWidth="1"/>
    <col min="12538" max="12538" width="14.625" style="35" customWidth="1"/>
    <col min="12539" max="12540" width="0" style="35" hidden="1" customWidth="1"/>
    <col min="12541" max="12541" width="13.25" style="35" customWidth="1"/>
    <col min="12542" max="12545" width="0" style="35" hidden="1" customWidth="1"/>
    <col min="12546" max="12546" width="12.5" style="35" customWidth="1"/>
    <col min="12547" max="12547" width="14.125" style="35" customWidth="1"/>
    <col min="12548" max="12792" width="9" style="35"/>
    <col min="12793" max="12793" width="29.875" style="35" customWidth="1"/>
    <col min="12794" max="12794" width="14.625" style="35" customWidth="1"/>
    <col min="12795" max="12796" width="0" style="35" hidden="1" customWidth="1"/>
    <col min="12797" max="12797" width="13.25" style="35" customWidth="1"/>
    <col min="12798" max="12801" width="0" style="35" hidden="1" customWidth="1"/>
    <col min="12802" max="12802" width="12.5" style="35" customWidth="1"/>
    <col min="12803" max="12803" width="14.125" style="35" customWidth="1"/>
    <col min="12804" max="13048" width="9" style="35"/>
    <col min="13049" max="13049" width="29.875" style="35" customWidth="1"/>
    <col min="13050" max="13050" width="14.625" style="35" customWidth="1"/>
    <col min="13051" max="13052" width="0" style="35" hidden="1" customWidth="1"/>
    <col min="13053" max="13053" width="13.25" style="35" customWidth="1"/>
    <col min="13054" max="13057" width="0" style="35" hidden="1" customWidth="1"/>
    <col min="13058" max="13058" width="12.5" style="35" customWidth="1"/>
    <col min="13059" max="13059" width="14.125" style="35" customWidth="1"/>
    <col min="13060" max="13304" width="9" style="35"/>
    <col min="13305" max="13305" width="29.875" style="35" customWidth="1"/>
    <col min="13306" max="13306" width="14.625" style="35" customWidth="1"/>
    <col min="13307" max="13308" width="0" style="35" hidden="1" customWidth="1"/>
    <col min="13309" max="13309" width="13.25" style="35" customWidth="1"/>
    <col min="13310" max="13313" width="0" style="35" hidden="1" customWidth="1"/>
    <col min="13314" max="13314" width="12.5" style="35" customWidth="1"/>
    <col min="13315" max="13315" width="14.125" style="35" customWidth="1"/>
    <col min="13316" max="13560" width="9" style="35"/>
    <col min="13561" max="13561" width="29.875" style="35" customWidth="1"/>
    <col min="13562" max="13562" width="14.625" style="35" customWidth="1"/>
    <col min="13563" max="13564" width="0" style="35" hidden="1" customWidth="1"/>
    <col min="13565" max="13565" width="13.25" style="35" customWidth="1"/>
    <col min="13566" max="13569" width="0" style="35" hidden="1" customWidth="1"/>
    <col min="13570" max="13570" width="12.5" style="35" customWidth="1"/>
    <col min="13571" max="13571" width="14.125" style="35" customWidth="1"/>
    <col min="13572" max="13816" width="9" style="35"/>
    <col min="13817" max="13817" width="29.875" style="35" customWidth="1"/>
    <col min="13818" max="13818" width="14.625" style="35" customWidth="1"/>
    <col min="13819" max="13820" width="0" style="35" hidden="1" customWidth="1"/>
    <col min="13821" max="13821" width="13.25" style="35" customWidth="1"/>
    <col min="13822" max="13825" width="0" style="35" hidden="1" customWidth="1"/>
    <col min="13826" max="13826" width="12.5" style="35" customWidth="1"/>
    <col min="13827" max="13827" width="14.125" style="35" customWidth="1"/>
    <col min="13828" max="14072" width="9" style="35"/>
    <col min="14073" max="14073" width="29.875" style="35" customWidth="1"/>
    <col min="14074" max="14074" width="14.625" style="35" customWidth="1"/>
    <col min="14075" max="14076" width="0" style="35" hidden="1" customWidth="1"/>
    <col min="14077" max="14077" width="13.25" style="35" customWidth="1"/>
    <col min="14078" max="14081" width="0" style="35" hidden="1" customWidth="1"/>
    <col min="14082" max="14082" width="12.5" style="35" customWidth="1"/>
    <col min="14083" max="14083" width="14.125" style="35" customWidth="1"/>
    <col min="14084" max="14328" width="9" style="35"/>
    <col min="14329" max="14329" width="29.875" style="35" customWidth="1"/>
    <col min="14330" max="14330" width="14.625" style="35" customWidth="1"/>
    <col min="14331" max="14332" width="0" style="35" hidden="1" customWidth="1"/>
    <col min="14333" max="14333" width="13.25" style="35" customWidth="1"/>
    <col min="14334" max="14337" width="0" style="35" hidden="1" customWidth="1"/>
    <col min="14338" max="14338" width="12.5" style="35" customWidth="1"/>
    <col min="14339" max="14339" width="14.125" style="35" customWidth="1"/>
    <col min="14340" max="14584" width="9" style="35"/>
    <col min="14585" max="14585" width="29.875" style="35" customWidth="1"/>
    <col min="14586" max="14586" width="14.625" style="35" customWidth="1"/>
    <col min="14587" max="14588" width="0" style="35" hidden="1" customWidth="1"/>
    <col min="14589" max="14589" width="13.25" style="35" customWidth="1"/>
    <col min="14590" max="14593" width="0" style="35" hidden="1" customWidth="1"/>
    <col min="14594" max="14594" width="12.5" style="35" customWidth="1"/>
    <col min="14595" max="14595" width="14.125" style="35" customWidth="1"/>
    <col min="14596" max="14840" width="9" style="35"/>
    <col min="14841" max="14841" width="29.875" style="35" customWidth="1"/>
    <col min="14842" max="14842" width="14.625" style="35" customWidth="1"/>
    <col min="14843" max="14844" width="0" style="35" hidden="1" customWidth="1"/>
    <col min="14845" max="14845" width="13.25" style="35" customWidth="1"/>
    <col min="14846" max="14849" width="0" style="35" hidden="1" customWidth="1"/>
    <col min="14850" max="14850" width="12.5" style="35" customWidth="1"/>
    <col min="14851" max="14851" width="14.125" style="35" customWidth="1"/>
    <col min="14852" max="15096" width="9" style="35"/>
    <col min="15097" max="15097" width="29.875" style="35" customWidth="1"/>
    <col min="15098" max="15098" width="14.625" style="35" customWidth="1"/>
    <col min="15099" max="15100" width="0" style="35" hidden="1" customWidth="1"/>
    <col min="15101" max="15101" width="13.25" style="35" customWidth="1"/>
    <col min="15102" max="15105" width="0" style="35" hidden="1" customWidth="1"/>
    <col min="15106" max="15106" width="12.5" style="35" customWidth="1"/>
    <col min="15107" max="15107" width="14.125" style="35" customWidth="1"/>
    <col min="15108" max="15352" width="9" style="35"/>
    <col min="15353" max="15353" width="29.875" style="35" customWidth="1"/>
    <col min="15354" max="15354" width="14.625" style="35" customWidth="1"/>
    <col min="15355" max="15356" width="0" style="35" hidden="1" customWidth="1"/>
    <col min="15357" max="15357" width="13.25" style="35" customWidth="1"/>
    <col min="15358" max="15361" width="0" style="35" hidden="1" customWidth="1"/>
    <col min="15362" max="15362" width="12.5" style="35" customWidth="1"/>
    <col min="15363" max="15363" width="14.125" style="35" customWidth="1"/>
    <col min="15364" max="15608" width="9" style="35"/>
    <col min="15609" max="15609" width="29.875" style="35" customWidth="1"/>
    <col min="15610" max="15610" width="14.625" style="35" customWidth="1"/>
    <col min="15611" max="15612" width="0" style="35" hidden="1" customWidth="1"/>
    <col min="15613" max="15613" width="13.25" style="35" customWidth="1"/>
    <col min="15614" max="15617" width="0" style="35" hidden="1" customWidth="1"/>
    <col min="15618" max="15618" width="12.5" style="35" customWidth="1"/>
    <col min="15619" max="15619" width="14.125" style="35" customWidth="1"/>
    <col min="15620" max="15864" width="9" style="35"/>
    <col min="15865" max="15865" width="29.875" style="35" customWidth="1"/>
    <col min="15866" max="15866" width="14.625" style="35" customWidth="1"/>
    <col min="15867" max="15868" width="0" style="35" hidden="1" customWidth="1"/>
    <col min="15869" max="15869" width="13.25" style="35" customWidth="1"/>
    <col min="15870" max="15873" width="0" style="35" hidden="1" customWidth="1"/>
    <col min="15874" max="15874" width="12.5" style="35" customWidth="1"/>
    <col min="15875" max="15875" width="14.125" style="35" customWidth="1"/>
    <col min="15876" max="16120" width="9" style="35"/>
    <col min="16121" max="16121" width="29.875" style="35" customWidth="1"/>
    <col min="16122" max="16122" width="14.625" style="35" customWidth="1"/>
    <col min="16123" max="16124" width="0" style="35" hidden="1" customWidth="1"/>
    <col min="16125" max="16125" width="13.25" style="35" customWidth="1"/>
    <col min="16126" max="16129" width="0" style="35" hidden="1" customWidth="1"/>
    <col min="16130" max="16130" width="12.5" style="35" customWidth="1"/>
    <col min="16131" max="16131" width="14.125" style="35" customWidth="1"/>
    <col min="16132" max="16384" width="9" style="35"/>
  </cols>
  <sheetData>
    <row r="1" spans="1:13" ht="21.75" customHeight="1">
      <c r="A1" s="34" t="s">
        <v>587</v>
      </c>
    </row>
    <row r="2" spans="1:13" ht="37.5" customHeight="1">
      <c r="A2" s="309" t="s">
        <v>579</v>
      </c>
      <c r="B2" s="309"/>
      <c r="C2" s="309"/>
      <c r="D2" s="309"/>
      <c r="E2" s="309"/>
    </row>
    <row r="3" spans="1:13" ht="21" customHeight="1">
      <c r="A3" s="36"/>
      <c r="B3" s="36"/>
      <c r="C3" s="36"/>
      <c r="D3" s="36"/>
      <c r="E3" s="286" t="s">
        <v>107</v>
      </c>
    </row>
    <row r="4" spans="1:13" ht="24" customHeight="1">
      <c r="A4" s="310" t="s">
        <v>108</v>
      </c>
      <c r="B4" s="311" t="s">
        <v>580</v>
      </c>
      <c r="C4" s="311" t="s">
        <v>109</v>
      </c>
      <c r="D4" s="310" t="s">
        <v>110</v>
      </c>
      <c r="E4" s="310"/>
    </row>
    <row r="5" spans="1:13" ht="24" customHeight="1">
      <c r="A5" s="310"/>
      <c r="B5" s="311"/>
      <c r="C5" s="311"/>
      <c r="D5" s="37" t="s">
        <v>111</v>
      </c>
      <c r="E5" s="37" t="s">
        <v>112</v>
      </c>
    </row>
    <row r="6" spans="1:13" ht="24" customHeight="1">
      <c r="A6" s="38" t="s">
        <v>113</v>
      </c>
      <c r="B6" s="39">
        <f>B7+B29+B31+B30</f>
        <v>659274</v>
      </c>
      <c r="C6" s="39">
        <v>600543.9</v>
      </c>
      <c r="D6" s="38">
        <f t="shared" ref="D6:D35" si="0">B6-C6</f>
        <v>58730.099999999977</v>
      </c>
      <c r="E6" s="40">
        <f t="shared" ref="E6:E35" si="1">D6/C6</f>
        <v>9.7794848969409182E-2</v>
      </c>
      <c r="H6" s="307" t="s">
        <v>114</v>
      </c>
      <c r="I6" s="308"/>
      <c r="J6" s="308"/>
      <c r="K6" s="308"/>
      <c r="M6" s="277"/>
    </row>
    <row r="7" spans="1:13" ht="24" customHeight="1">
      <c r="A7" s="41" t="s">
        <v>115</v>
      </c>
      <c r="B7" s="42">
        <f>B8+B26</f>
        <v>273488</v>
      </c>
      <c r="C7" s="42">
        <v>277913.90000000002</v>
      </c>
      <c r="D7" s="43">
        <f t="shared" si="0"/>
        <v>-4425.9000000000233</v>
      </c>
      <c r="E7" s="44">
        <f t="shared" si="1"/>
        <v>-1.5925435899391945E-2</v>
      </c>
      <c r="H7" s="45" t="s">
        <v>116</v>
      </c>
      <c r="I7" s="45" t="s">
        <v>117</v>
      </c>
      <c r="J7" s="45" t="s">
        <v>118</v>
      </c>
      <c r="K7" s="45" t="s">
        <v>119</v>
      </c>
    </row>
    <row r="8" spans="1:13" ht="24" customHeight="1">
      <c r="A8" s="41" t="s">
        <v>120</v>
      </c>
      <c r="B8" s="42">
        <f>B9+B23</f>
        <v>213943</v>
      </c>
      <c r="C8" s="42">
        <v>206263.9</v>
      </c>
      <c r="D8" s="43">
        <f t="shared" si="0"/>
        <v>7679.1000000000058</v>
      </c>
      <c r="E8" s="44">
        <f t="shared" si="1"/>
        <v>3.7229490957942743E-2</v>
      </c>
      <c r="G8" s="46" t="s">
        <v>7</v>
      </c>
      <c r="H8" s="47">
        <f>H9+H24</f>
        <v>206263.76500000001</v>
      </c>
      <c r="I8" s="47">
        <f t="shared" ref="I8:K8" si="2">I9+I24</f>
        <v>29679.555</v>
      </c>
      <c r="J8" s="47">
        <f t="shared" si="2"/>
        <v>12787</v>
      </c>
      <c r="K8" s="47">
        <f t="shared" si="2"/>
        <v>94020</v>
      </c>
    </row>
    <row r="9" spans="1:13" s="52" customFormat="1" ht="24" customHeight="1">
      <c r="A9" s="48" t="s">
        <v>121</v>
      </c>
      <c r="B9" s="49">
        <f>SUM(B10:B22)</f>
        <v>210488</v>
      </c>
      <c r="C9" s="49">
        <v>203037.9</v>
      </c>
      <c r="D9" s="50">
        <f t="shared" si="0"/>
        <v>7450.1000000000058</v>
      </c>
      <c r="E9" s="51">
        <f t="shared" si="1"/>
        <v>3.6693149407081169E-2</v>
      </c>
      <c r="G9" s="53" t="s">
        <v>122</v>
      </c>
      <c r="H9" s="47">
        <f>SUM(H10:H23)</f>
        <v>203037.48500000002</v>
      </c>
      <c r="I9" s="47">
        <f t="shared" ref="I9:K9" si="3">SUM(I10:I23)</f>
        <v>29679.555</v>
      </c>
      <c r="J9" s="47">
        <f t="shared" si="3"/>
        <v>12787</v>
      </c>
      <c r="K9" s="47">
        <f t="shared" si="3"/>
        <v>94020</v>
      </c>
    </row>
    <row r="10" spans="1:13" ht="24" customHeight="1">
      <c r="A10" s="54" t="s">
        <v>123</v>
      </c>
      <c r="B10" s="49">
        <f>121868+2472</f>
        <v>124340</v>
      </c>
      <c r="C10" s="49">
        <v>125904</v>
      </c>
      <c r="D10" s="50">
        <f>B10-C10</f>
        <v>-1564</v>
      </c>
      <c r="E10" s="51">
        <f t="shared" si="1"/>
        <v>-1.2422162917778624E-2</v>
      </c>
      <c r="G10" s="55" t="s">
        <v>124</v>
      </c>
      <c r="H10" s="56">
        <f>129284-(11362-6720)+1262</f>
        <v>125904</v>
      </c>
      <c r="I10" s="56">
        <f>H10-J10-K10</f>
        <v>23897</v>
      </c>
      <c r="J10" s="56">
        <f>11285-1212</f>
        <v>10073</v>
      </c>
      <c r="K10" s="56">
        <v>91934</v>
      </c>
      <c r="L10" s="35" t="s">
        <v>581</v>
      </c>
    </row>
    <row r="11" spans="1:13" ht="24" customHeight="1">
      <c r="A11" s="54" t="s">
        <v>125</v>
      </c>
      <c r="B11" s="49">
        <v>237</v>
      </c>
      <c r="C11" s="49">
        <v>319</v>
      </c>
      <c r="D11" s="50">
        <f t="shared" si="0"/>
        <v>-82</v>
      </c>
      <c r="E11" s="51">
        <f t="shared" si="1"/>
        <v>-0.25705329153605017</v>
      </c>
      <c r="G11" s="55" t="s">
        <v>126</v>
      </c>
      <c r="H11" s="56">
        <f>309+10</f>
        <v>319</v>
      </c>
      <c r="I11" s="56">
        <f t="shared" ref="I11:I14" si="4">H11-J11-K11</f>
        <v>232</v>
      </c>
      <c r="J11" s="56">
        <v>84</v>
      </c>
      <c r="K11" s="56">
        <v>3</v>
      </c>
    </row>
    <row r="12" spans="1:13" ht="24" customHeight="1">
      <c r="A12" s="54" t="s">
        <v>127</v>
      </c>
      <c r="B12" s="50">
        <v>12284</v>
      </c>
      <c r="C12" s="49">
        <v>7602</v>
      </c>
      <c r="D12" s="50">
        <f t="shared" si="0"/>
        <v>4682</v>
      </c>
      <c r="E12" s="51">
        <f t="shared" si="1"/>
        <v>0.61589055511707447</v>
      </c>
      <c r="G12" s="55" t="s">
        <v>128</v>
      </c>
      <c r="H12" s="56">
        <f>14322-6720</f>
        <v>7602</v>
      </c>
      <c r="I12" s="56">
        <f t="shared" si="4"/>
        <v>4164</v>
      </c>
      <c r="J12" s="56">
        <v>1355</v>
      </c>
      <c r="K12" s="56">
        <v>2083</v>
      </c>
    </row>
    <row r="13" spans="1:13" ht="24" customHeight="1">
      <c r="A13" s="54" t="s">
        <v>129</v>
      </c>
      <c r="B13" s="50">
        <v>4631</v>
      </c>
      <c r="C13" s="49">
        <v>4388</v>
      </c>
      <c r="D13" s="50">
        <f t="shared" si="0"/>
        <v>243</v>
      </c>
      <c r="E13" s="51">
        <f t="shared" si="1"/>
        <v>5.5378304466727438E-2</v>
      </c>
      <c r="G13" s="57" t="s">
        <v>130</v>
      </c>
      <c r="H13" s="56">
        <v>1291.8610000000001</v>
      </c>
      <c r="I13" s="56">
        <f t="shared" si="4"/>
        <v>954.8610000000001</v>
      </c>
      <c r="J13" s="56">
        <v>337</v>
      </c>
      <c r="K13" s="56"/>
    </row>
    <row r="14" spans="1:13" ht="24" customHeight="1">
      <c r="A14" s="54" t="s">
        <v>131</v>
      </c>
      <c r="B14" s="50">
        <v>14670</v>
      </c>
      <c r="C14" s="49">
        <v>14288</v>
      </c>
      <c r="D14" s="50">
        <f t="shared" si="0"/>
        <v>382</v>
      </c>
      <c r="E14" s="51">
        <f t="shared" si="1"/>
        <v>2.673572228443449E-2</v>
      </c>
      <c r="G14" s="57" t="s">
        <v>132</v>
      </c>
      <c r="H14" s="56">
        <v>1369.694</v>
      </c>
      <c r="I14" s="56">
        <f t="shared" si="4"/>
        <v>431.69399999999996</v>
      </c>
      <c r="J14" s="56">
        <v>938</v>
      </c>
      <c r="K14" s="56"/>
    </row>
    <row r="15" spans="1:13" ht="24" customHeight="1">
      <c r="A15" s="58" t="s">
        <v>133</v>
      </c>
      <c r="B15" s="50">
        <v>22552</v>
      </c>
      <c r="C15" s="49">
        <v>26559</v>
      </c>
      <c r="D15" s="50">
        <f t="shared" si="0"/>
        <v>-4007</v>
      </c>
      <c r="E15" s="51">
        <f t="shared" si="1"/>
        <v>-0.15087164426371474</v>
      </c>
      <c r="G15" s="55" t="s">
        <v>134</v>
      </c>
      <c r="H15" s="56">
        <v>4388.3900000000003</v>
      </c>
      <c r="I15" s="56"/>
      <c r="J15" s="56"/>
      <c r="K15" s="56"/>
    </row>
    <row r="16" spans="1:13" ht="24" customHeight="1">
      <c r="A16" s="58" t="s">
        <v>135</v>
      </c>
      <c r="B16" s="50">
        <v>1302</v>
      </c>
      <c r="C16" s="49">
        <v>1292</v>
      </c>
      <c r="D16" s="50">
        <f t="shared" si="0"/>
        <v>10</v>
      </c>
      <c r="E16" s="51">
        <f t="shared" si="1"/>
        <v>7.7399380804953561E-3</v>
      </c>
      <c r="G16" s="55" t="s">
        <v>136</v>
      </c>
      <c r="H16" s="56">
        <v>14287.76</v>
      </c>
      <c r="I16" s="56"/>
      <c r="J16" s="56"/>
      <c r="K16" s="56"/>
    </row>
    <row r="17" spans="1:13" ht="24" customHeight="1">
      <c r="A17" s="59" t="s">
        <v>137</v>
      </c>
      <c r="B17" s="50">
        <v>1374</v>
      </c>
      <c r="C17" s="49">
        <v>1370</v>
      </c>
      <c r="D17" s="50">
        <f t="shared" si="0"/>
        <v>4</v>
      </c>
      <c r="E17" s="51">
        <f t="shared" si="1"/>
        <v>2.9197080291970801E-3</v>
      </c>
      <c r="G17" s="55" t="s">
        <v>138</v>
      </c>
      <c r="H17" s="56">
        <v>26559.01</v>
      </c>
      <c r="I17" s="56"/>
      <c r="J17" s="56"/>
      <c r="K17" s="56"/>
    </row>
    <row r="18" spans="1:13" ht="24" customHeight="1">
      <c r="A18" s="54" t="s">
        <v>139</v>
      </c>
      <c r="B18" s="50">
        <v>669</v>
      </c>
      <c r="C18" s="49">
        <v>667</v>
      </c>
      <c r="D18" s="50">
        <f t="shared" si="0"/>
        <v>2</v>
      </c>
      <c r="E18" s="51">
        <f t="shared" si="1"/>
        <v>2.9985007496251873E-3</v>
      </c>
      <c r="G18" s="55" t="s">
        <v>140</v>
      </c>
      <c r="H18" s="56">
        <v>11953.9</v>
      </c>
      <c r="I18" s="56"/>
      <c r="J18" s="56"/>
      <c r="K18" s="56"/>
    </row>
    <row r="19" spans="1:13" s="52" customFormat="1" ht="24" customHeight="1">
      <c r="A19" s="60" t="s">
        <v>140</v>
      </c>
      <c r="B19" s="49">
        <f>10063+7202</f>
        <v>17265</v>
      </c>
      <c r="C19" s="49">
        <v>11953.9</v>
      </c>
      <c r="D19" s="49">
        <f t="shared" si="0"/>
        <v>5311.1</v>
      </c>
      <c r="E19" s="51">
        <f t="shared" si="1"/>
        <v>0.44429851345585963</v>
      </c>
      <c r="G19" s="55" t="s">
        <v>141</v>
      </c>
      <c r="H19" s="56">
        <v>280</v>
      </c>
      <c r="I19" s="56"/>
      <c r="J19" s="56"/>
      <c r="K19" s="56"/>
    </row>
    <row r="20" spans="1:13" ht="24" customHeight="1">
      <c r="A20" s="60" t="s">
        <v>141</v>
      </c>
      <c r="B20" s="50">
        <v>788</v>
      </c>
      <c r="C20" s="49">
        <v>280</v>
      </c>
      <c r="D20" s="50">
        <f t="shared" si="0"/>
        <v>508</v>
      </c>
      <c r="E20" s="51">
        <f t="shared" si="1"/>
        <v>1.8142857142857143</v>
      </c>
      <c r="G20" s="55" t="s">
        <v>142</v>
      </c>
      <c r="H20" s="56">
        <v>26</v>
      </c>
      <c r="I20" s="56"/>
      <c r="J20" s="56"/>
      <c r="K20" s="56"/>
    </row>
    <row r="21" spans="1:13" ht="24" customHeight="1">
      <c r="A21" s="60" t="s">
        <v>142</v>
      </c>
      <c r="B21" s="50">
        <v>75</v>
      </c>
      <c r="C21" s="49">
        <v>26</v>
      </c>
      <c r="D21" s="50">
        <f t="shared" si="0"/>
        <v>49</v>
      </c>
      <c r="E21" s="51">
        <f t="shared" si="1"/>
        <v>1.8846153846153846</v>
      </c>
      <c r="G21" s="55" t="s">
        <v>143</v>
      </c>
      <c r="H21" s="56">
        <v>667</v>
      </c>
      <c r="I21" s="56"/>
      <c r="J21" s="56"/>
      <c r="K21" s="56"/>
    </row>
    <row r="22" spans="1:13" s="52" customFormat="1" ht="24" customHeight="1">
      <c r="A22" s="54" t="s">
        <v>144</v>
      </c>
      <c r="B22" s="50">
        <f>19975-7202-2472</f>
        <v>10301</v>
      </c>
      <c r="C22" s="49">
        <v>8389</v>
      </c>
      <c r="D22" s="50">
        <f t="shared" si="0"/>
        <v>1912</v>
      </c>
      <c r="E22" s="51">
        <f t="shared" si="1"/>
        <v>0.22791751102634403</v>
      </c>
      <c r="G22" s="55" t="s">
        <v>145</v>
      </c>
      <c r="H22" s="56">
        <f>12473.87-2507-1262-306-10</f>
        <v>8388.8700000000008</v>
      </c>
      <c r="I22" s="56"/>
      <c r="J22" s="56"/>
      <c r="K22" s="56"/>
    </row>
    <row r="23" spans="1:13" s="52" customFormat="1" ht="24" customHeight="1">
      <c r="A23" s="54" t="s">
        <v>146</v>
      </c>
      <c r="B23" s="50">
        <f>SUM(B24:B25)</f>
        <v>3455</v>
      </c>
      <c r="C23" s="49">
        <v>3226</v>
      </c>
      <c r="D23" s="50">
        <f t="shared" si="0"/>
        <v>229</v>
      </c>
      <c r="E23" s="51">
        <f t="shared" si="1"/>
        <v>7.0985740855548665E-2</v>
      </c>
      <c r="G23" s="57" t="s">
        <v>144</v>
      </c>
      <c r="H23" s="56"/>
      <c r="I23" s="56"/>
      <c r="J23" s="56"/>
      <c r="K23" s="56"/>
    </row>
    <row r="24" spans="1:13" s="52" customFormat="1" ht="24" customHeight="1">
      <c r="A24" s="54" t="s">
        <v>147</v>
      </c>
      <c r="B24" s="50">
        <v>2914</v>
      </c>
      <c r="C24" s="49">
        <v>2831</v>
      </c>
      <c r="D24" s="50">
        <f t="shared" si="0"/>
        <v>83</v>
      </c>
      <c r="E24" s="51">
        <f t="shared" si="1"/>
        <v>2.9318262098198516E-2</v>
      </c>
      <c r="G24" s="61" t="s">
        <v>148</v>
      </c>
      <c r="H24" s="56">
        <f>H25+H26</f>
        <v>3226.28</v>
      </c>
      <c r="I24" s="56"/>
      <c r="J24" s="56"/>
      <c r="K24" s="56"/>
    </row>
    <row r="25" spans="1:13" s="52" customFormat="1" ht="24" customHeight="1">
      <c r="A25" s="59" t="s">
        <v>149</v>
      </c>
      <c r="B25" s="50">
        <v>541</v>
      </c>
      <c r="C25" s="49">
        <v>395</v>
      </c>
      <c r="D25" s="50">
        <f t="shared" si="0"/>
        <v>146</v>
      </c>
      <c r="E25" s="51">
        <f t="shared" si="1"/>
        <v>0.36962025316455699</v>
      </c>
      <c r="G25" s="55" t="s">
        <v>150</v>
      </c>
      <c r="H25" s="47">
        <v>2830.92</v>
      </c>
      <c r="I25" s="47"/>
      <c r="J25" s="47"/>
      <c r="K25" s="47"/>
    </row>
    <row r="26" spans="1:13" s="52" customFormat="1" ht="24" customHeight="1">
      <c r="A26" s="62" t="s">
        <v>151</v>
      </c>
      <c r="B26" s="50">
        <f>B27+B28</f>
        <v>59545</v>
      </c>
      <c r="C26" s="49">
        <v>71650</v>
      </c>
      <c r="D26" s="50">
        <f t="shared" si="0"/>
        <v>-12105</v>
      </c>
      <c r="E26" s="51">
        <f t="shared" si="1"/>
        <v>-0.16894626657362177</v>
      </c>
      <c r="G26" s="55" t="s">
        <v>152</v>
      </c>
      <c r="H26" s="47">
        <v>395.36</v>
      </c>
      <c r="I26" s="47"/>
      <c r="J26" s="47"/>
      <c r="K26" s="47"/>
      <c r="M26" s="277"/>
    </row>
    <row r="27" spans="1:13" s="52" customFormat="1" ht="24" customHeight="1">
      <c r="A27" s="62" t="s">
        <v>153</v>
      </c>
      <c r="B27" s="50">
        <f>55380-4355</f>
        <v>51025</v>
      </c>
      <c r="C27" s="49">
        <v>58482</v>
      </c>
      <c r="D27" s="50">
        <f t="shared" si="0"/>
        <v>-7457</v>
      </c>
      <c r="E27" s="51">
        <f t="shared" si="1"/>
        <v>-0.12750931910673369</v>
      </c>
    </row>
    <row r="28" spans="1:13" s="52" customFormat="1" ht="24" customHeight="1">
      <c r="A28" s="63" t="s">
        <v>154</v>
      </c>
      <c r="B28" s="50">
        <v>8520</v>
      </c>
      <c r="C28" s="49">
        <v>13168</v>
      </c>
      <c r="D28" s="50">
        <f t="shared" si="0"/>
        <v>-4648</v>
      </c>
      <c r="E28" s="51">
        <f t="shared" si="1"/>
        <v>-0.35297691373025514</v>
      </c>
    </row>
    <row r="29" spans="1:13" ht="24" customHeight="1">
      <c r="A29" s="48" t="s">
        <v>155</v>
      </c>
      <c r="B29" s="50">
        <f>一般收支平衡表!T21</f>
        <v>14216</v>
      </c>
      <c r="C29" s="49">
        <v>23568</v>
      </c>
      <c r="D29" s="50">
        <f t="shared" si="0"/>
        <v>-9352</v>
      </c>
      <c r="E29" s="51">
        <f t="shared" si="1"/>
        <v>-0.3968092328581127</v>
      </c>
      <c r="G29" s="52"/>
    </row>
    <row r="30" spans="1:13" ht="24" customHeight="1">
      <c r="A30" s="48" t="s">
        <v>156</v>
      </c>
      <c r="B30" s="50">
        <f>一般收支平衡表!T19</f>
        <v>272635</v>
      </c>
      <c r="C30" s="49">
        <v>198363</v>
      </c>
      <c r="D30" s="50">
        <f t="shared" si="0"/>
        <v>74272</v>
      </c>
      <c r="E30" s="51">
        <f t="shared" si="1"/>
        <v>0.3744246658903122</v>
      </c>
      <c r="G30" s="52"/>
    </row>
    <row r="31" spans="1:13" ht="24" customHeight="1">
      <c r="A31" s="48" t="s">
        <v>157</v>
      </c>
      <c r="B31" s="64">
        <f>一般收支平衡表!T20+一般收支平衡表!T24+一般收支平衡表!T25</f>
        <v>98935</v>
      </c>
      <c r="C31" s="275">
        <v>100699</v>
      </c>
      <c r="D31" s="50">
        <f t="shared" si="0"/>
        <v>-1764</v>
      </c>
      <c r="E31" s="51">
        <f t="shared" si="1"/>
        <v>-1.751755230935759E-2</v>
      </c>
    </row>
    <row r="32" spans="1:13" ht="24" customHeight="1">
      <c r="A32" s="65" t="s">
        <v>158</v>
      </c>
      <c r="B32" s="66">
        <f t="shared" ref="B32" si="5">SUM(B33:B35)</f>
        <v>241409</v>
      </c>
      <c r="C32" s="276">
        <v>179754</v>
      </c>
      <c r="D32" s="66">
        <f t="shared" si="0"/>
        <v>61655</v>
      </c>
      <c r="E32" s="67">
        <f t="shared" si="1"/>
        <v>0.34299653971538879</v>
      </c>
      <c r="M32" s="277"/>
    </row>
    <row r="33" spans="1:5" ht="24" customHeight="1">
      <c r="A33" s="48" t="s">
        <v>115</v>
      </c>
      <c r="B33" s="50">
        <f>基金收支平衡表!T6</f>
        <v>44081</v>
      </c>
      <c r="C33" s="49">
        <v>58086</v>
      </c>
      <c r="D33" s="50">
        <f t="shared" si="0"/>
        <v>-14005</v>
      </c>
      <c r="E33" s="51">
        <f t="shared" si="1"/>
        <v>-0.24110801225768688</v>
      </c>
    </row>
    <row r="34" spans="1:5" ht="24" customHeight="1">
      <c r="A34" s="48" t="s">
        <v>155</v>
      </c>
      <c r="B34" s="50">
        <f>基金收支平衡表!T16</f>
        <v>4502</v>
      </c>
      <c r="C34" s="49">
        <v>19123</v>
      </c>
      <c r="D34" s="50">
        <f t="shared" si="0"/>
        <v>-14621</v>
      </c>
      <c r="E34" s="51">
        <f t="shared" si="1"/>
        <v>-0.76457668775819698</v>
      </c>
    </row>
    <row r="35" spans="1:5" ht="24" customHeight="1">
      <c r="A35" s="48" t="s">
        <v>159</v>
      </c>
      <c r="B35" s="50">
        <f>基金收支平衡表!T11+基金收支平衡表!T14+基金收支平衡表!T15</f>
        <v>192826</v>
      </c>
      <c r="C35" s="49">
        <v>102545</v>
      </c>
      <c r="D35" s="50">
        <f t="shared" si="0"/>
        <v>90281</v>
      </c>
      <c r="E35" s="51">
        <f t="shared" si="1"/>
        <v>0.88040372519381738</v>
      </c>
    </row>
  </sheetData>
  <mergeCells count="6">
    <mergeCell ref="H6:K6"/>
    <mergeCell ref="A2:E2"/>
    <mergeCell ref="A4:A5"/>
    <mergeCell ref="B4:B5"/>
    <mergeCell ref="C4:C5"/>
    <mergeCell ref="D4:E4"/>
  </mergeCells>
  <phoneticPr fontId="5" type="noConversion"/>
  <printOptions horizontalCentered="1"/>
  <pageMargins left="0.59055118110236227" right="0.59055118110236227" top="0.59055118110236227" bottom="0.59055118110236227" header="0.31496062992125984" footer="0.31496062992125984"/>
  <pageSetup paperSize="9" scale="89" fitToHeight="0" orientation="portrait" r:id="rId1"/>
  <headerFooter>
    <oddFooter>第 &amp;P 页，共 &amp;N 页</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N39"/>
  <sheetViews>
    <sheetView zoomScale="115" zoomScaleNormal="115" workbookViewId="0">
      <selection activeCell="F12" sqref="F12"/>
    </sheetView>
  </sheetViews>
  <sheetFormatPr defaultRowHeight="14.25"/>
  <cols>
    <col min="1" max="1" width="16.75" style="92" customWidth="1"/>
    <col min="2" max="5" width="7.625" style="91" customWidth="1"/>
    <col min="6" max="6" width="7.875" style="91" customWidth="1"/>
    <col min="7" max="9" width="7.625" style="91" customWidth="1"/>
    <col min="10" max="10" width="7.625" style="92" customWidth="1"/>
    <col min="11" max="11" width="7.875" style="92" customWidth="1"/>
    <col min="12" max="14" width="11.625" style="92" hidden="1" customWidth="1"/>
    <col min="15" max="246" width="9" style="92"/>
    <col min="247" max="247" width="21.125" style="92" bestFit="1" customWidth="1"/>
    <col min="248" max="248" width="9.375" style="92" customWidth="1"/>
    <col min="249" max="253" width="8.625" style="92" customWidth="1"/>
    <col min="254" max="254" width="9.75" style="92" customWidth="1"/>
    <col min="255" max="502" width="9" style="92"/>
    <col min="503" max="503" width="21.125" style="92" bestFit="1" customWidth="1"/>
    <col min="504" max="504" width="9.375" style="92" customWidth="1"/>
    <col min="505" max="509" width="8.625" style="92" customWidth="1"/>
    <col min="510" max="510" width="9.75" style="92" customWidth="1"/>
    <col min="511" max="758" width="9" style="92"/>
    <col min="759" max="759" width="21.125" style="92" bestFit="1" customWidth="1"/>
    <col min="760" max="760" width="9.375" style="92" customWidth="1"/>
    <col min="761" max="765" width="8.625" style="92" customWidth="1"/>
    <col min="766" max="766" width="9.75" style="92" customWidth="1"/>
    <col min="767" max="1014" width="9" style="92"/>
    <col min="1015" max="1015" width="21.125" style="92" bestFit="1" customWidth="1"/>
    <col min="1016" max="1016" width="9.375" style="92" customWidth="1"/>
    <col min="1017" max="1021" width="8.625" style="92" customWidth="1"/>
    <col min="1022" max="1022" width="9.75" style="92" customWidth="1"/>
    <col min="1023" max="1270" width="9" style="92"/>
    <col min="1271" max="1271" width="21.125" style="92" bestFit="1" customWidth="1"/>
    <col min="1272" max="1272" width="9.375" style="92" customWidth="1"/>
    <col min="1273" max="1277" width="8.625" style="92" customWidth="1"/>
    <col min="1278" max="1278" width="9.75" style="92" customWidth="1"/>
    <col min="1279" max="1526" width="9" style="92"/>
    <col min="1527" max="1527" width="21.125" style="92" bestFit="1" customWidth="1"/>
    <col min="1528" max="1528" width="9.375" style="92" customWidth="1"/>
    <col min="1529" max="1533" width="8.625" style="92" customWidth="1"/>
    <col min="1534" max="1534" width="9.75" style="92" customWidth="1"/>
    <col min="1535" max="1782" width="9" style="92"/>
    <col min="1783" max="1783" width="21.125" style="92" bestFit="1" customWidth="1"/>
    <col min="1784" max="1784" width="9.375" style="92" customWidth="1"/>
    <col min="1785" max="1789" width="8.625" style="92" customWidth="1"/>
    <col min="1790" max="1790" width="9.75" style="92" customWidth="1"/>
    <col min="1791" max="2038" width="9" style="92"/>
    <col min="2039" max="2039" width="21.125" style="92" bestFit="1" customWidth="1"/>
    <col min="2040" max="2040" width="9.375" style="92" customWidth="1"/>
    <col min="2041" max="2045" width="8.625" style="92" customWidth="1"/>
    <col min="2046" max="2046" width="9.75" style="92" customWidth="1"/>
    <col min="2047" max="2294" width="9" style="92"/>
    <col min="2295" max="2295" width="21.125" style="92" bestFit="1" customWidth="1"/>
    <col min="2296" max="2296" width="9.375" style="92" customWidth="1"/>
    <col min="2297" max="2301" width="8.625" style="92" customWidth="1"/>
    <col min="2302" max="2302" width="9.75" style="92" customWidth="1"/>
    <col min="2303" max="2550" width="9" style="92"/>
    <col min="2551" max="2551" width="21.125" style="92" bestFit="1" customWidth="1"/>
    <col min="2552" max="2552" width="9.375" style="92" customWidth="1"/>
    <col min="2553" max="2557" width="8.625" style="92" customWidth="1"/>
    <col min="2558" max="2558" width="9.75" style="92" customWidth="1"/>
    <col min="2559" max="2806" width="9" style="92"/>
    <col min="2807" max="2807" width="21.125" style="92" bestFit="1" customWidth="1"/>
    <col min="2808" max="2808" width="9.375" style="92" customWidth="1"/>
    <col min="2809" max="2813" width="8.625" style="92" customWidth="1"/>
    <col min="2814" max="2814" width="9.75" style="92" customWidth="1"/>
    <col min="2815" max="3062" width="9" style="92"/>
    <col min="3063" max="3063" width="21.125" style="92" bestFit="1" customWidth="1"/>
    <col min="3064" max="3064" width="9.375" style="92" customWidth="1"/>
    <col min="3065" max="3069" width="8.625" style="92" customWidth="1"/>
    <col min="3070" max="3070" width="9.75" style="92" customWidth="1"/>
    <col min="3071" max="3318" width="9" style="92"/>
    <col min="3319" max="3319" width="21.125" style="92" bestFit="1" customWidth="1"/>
    <col min="3320" max="3320" width="9.375" style="92" customWidth="1"/>
    <col min="3321" max="3325" width="8.625" style="92" customWidth="1"/>
    <col min="3326" max="3326" width="9.75" style="92" customWidth="1"/>
    <col min="3327" max="3574" width="9" style="92"/>
    <col min="3575" max="3575" width="21.125" style="92" bestFit="1" customWidth="1"/>
    <col min="3576" max="3576" width="9.375" style="92" customWidth="1"/>
    <col min="3577" max="3581" width="8.625" style="92" customWidth="1"/>
    <col min="3582" max="3582" width="9.75" style="92" customWidth="1"/>
    <col min="3583" max="3830" width="9" style="92"/>
    <col min="3831" max="3831" width="21.125" style="92" bestFit="1" customWidth="1"/>
    <col min="3832" max="3832" width="9.375" style="92" customWidth="1"/>
    <col min="3833" max="3837" width="8.625" style="92" customWidth="1"/>
    <col min="3838" max="3838" width="9.75" style="92" customWidth="1"/>
    <col min="3839" max="4086" width="9" style="92"/>
    <col min="4087" max="4087" width="21.125" style="92" bestFit="1" customWidth="1"/>
    <col min="4088" max="4088" width="9.375" style="92" customWidth="1"/>
    <col min="4089" max="4093" width="8.625" style="92" customWidth="1"/>
    <col min="4094" max="4094" width="9.75" style="92" customWidth="1"/>
    <col min="4095" max="4342" width="9" style="92"/>
    <col min="4343" max="4343" width="21.125" style="92" bestFit="1" customWidth="1"/>
    <col min="4344" max="4344" width="9.375" style="92" customWidth="1"/>
    <col min="4345" max="4349" width="8.625" style="92" customWidth="1"/>
    <col min="4350" max="4350" width="9.75" style="92" customWidth="1"/>
    <col min="4351" max="4598" width="9" style="92"/>
    <col min="4599" max="4599" width="21.125" style="92" bestFit="1" customWidth="1"/>
    <col min="4600" max="4600" width="9.375" style="92" customWidth="1"/>
    <col min="4601" max="4605" width="8.625" style="92" customWidth="1"/>
    <col min="4606" max="4606" width="9.75" style="92" customWidth="1"/>
    <col min="4607" max="4854" width="9" style="92"/>
    <col min="4855" max="4855" width="21.125" style="92" bestFit="1" customWidth="1"/>
    <col min="4856" max="4856" width="9.375" style="92" customWidth="1"/>
    <col min="4857" max="4861" width="8.625" style="92" customWidth="1"/>
    <col min="4862" max="4862" width="9.75" style="92" customWidth="1"/>
    <col min="4863" max="5110" width="9" style="92"/>
    <col min="5111" max="5111" width="21.125" style="92" bestFit="1" customWidth="1"/>
    <col min="5112" max="5112" width="9.375" style="92" customWidth="1"/>
    <col min="5113" max="5117" width="8.625" style="92" customWidth="1"/>
    <col min="5118" max="5118" width="9.75" style="92" customWidth="1"/>
    <col min="5119" max="5366" width="9" style="92"/>
    <col min="5367" max="5367" width="21.125" style="92" bestFit="1" customWidth="1"/>
    <col min="5368" max="5368" width="9.375" style="92" customWidth="1"/>
    <col min="5369" max="5373" width="8.625" style="92" customWidth="1"/>
    <col min="5374" max="5374" width="9.75" style="92" customWidth="1"/>
    <col min="5375" max="5622" width="9" style="92"/>
    <col min="5623" max="5623" width="21.125" style="92" bestFit="1" customWidth="1"/>
    <col min="5624" max="5624" width="9.375" style="92" customWidth="1"/>
    <col min="5625" max="5629" width="8.625" style="92" customWidth="1"/>
    <col min="5630" max="5630" width="9.75" style="92" customWidth="1"/>
    <col min="5631" max="5878" width="9" style="92"/>
    <col min="5879" max="5879" width="21.125" style="92" bestFit="1" customWidth="1"/>
    <col min="5880" max="5880" width="9.375" style="92" customWidth="1"/>
    <col min="5881" max="5885" width="8.625" style="92" customWidth="1"/>
    <col min="5886" max="5886" width="9.75" style="92" customWidth="1"/>
    <col min="5887" max="6134" width="9" style="92"/>
    <col min="6135" max="6135" width="21.125" style="92" bestFit="1" customWidth="1"/>
    <col min="6136" max="6136" width="9.375" style="92" customWidth="1"/>
    <col min="6137" max="6141" width="8.625" style="92" customWidth="1"/>
    <col min="6142" max="6142" width="9.75" style="92" customWidth="1"/>
    <col min="6143" max="6390" width="9" style="92"/>
    <col min="6391" max="6391" width="21.125" style="92" bestFit="1" customWidth="1"/>
    <col min="6392" max="6392" width="9.375" style="92" customWidth="1"/>
    <col min="6393" max="6397" width="8.625" style="92" customWidth="1"/>
    <col min="6398" max="6398" width="9.75" style="92" customWidth="1"/>
    <col min="6399" max="6646" width="9" style="92"/>
    <col min="6647" max="6647" width="21.125" style="92" bestFit="1" customWidth="1"/>
    <col min="6648" max="6648" width="9.375" style="92" customWidth="1"/>
    <col min="6649" max="6653" width="8.625" style="92" customWidth="1"/>
    <col min="6654" max="6654" width="9.75" style="92" customWidth="1"/>
    <col min="6655" max="6902" width="9" style="92"/>
    <col min="6903" max="6903" width="21.125" style="92" bestFit="1" customWidth="1"/>
    <col min="6904" max="6904" width="9.375" style="92" customWidth="1"/>
    <col min="6905" max="6909" width="8.625" style="92" customWidth="1"/>
    <col min="6910" max="6910" width="9.75" style="92" customWidth="1"/>
    <col min="6911" max="7158" width="9" style="92"/>
    <col min="7159" max="7159" width="21.125" style="92" bestFit="1" customWidth="1"/>
    <col min="7160" max="7160" width="9.375" style="92" customWidth="1"/>
    <col min="7161" max="7165" width="8.625" style="92" customWidth="1"/>
    <col min="7166" max="7166" width="9.75" style="92" customWidth="1"/>
    <col min="7167" max="7414" width="9" style="92"/>
    <col min="7415" max="7415" width="21.125" style="92" bestFit="1" customWidth="1"/>
    <col min="7416" max="7416" width="9.375" style="92" customWidth="1"/>
    <col min="7417" max="7421" width="8.625" style="92" customWidth="1"/>
    <col min="7422" max="7422" width="9.75" style="92" customWidth="1"/>
    <col min="7423" max="7670" width="9" style="92"/>
    <col min="7671" max="7671" width="21.125" style="92" bestFit="1" customWidth="1"/>
    <col min="7672" max="7672" width="9.375" style="92" customWidth="1"/>
    <col min="7673" max="7677" width="8.625" style="92" customWidth="1"/>
    <col min="7678" max="7678" width="9.75" style="92" customWidth="1"/>
    <col min="7679" max="7926" width="9" style="92"/>
    <col min="7927" max="7927" width="21.125" style="92" bestFit="1" customWidth="1"/>
    <col min="7928" max="7928" width="9.375" style="92" customWidth="1"/>
    <col min="7929" max="7933" width="8.625" style="92" customWidth="1"/>
    <col min="7934" max="7934" width="9.75" style="92" customWidth="1"/>
    <col min="7935" max="8182" width="9" style="92"/>
    <col min="8183" max="8183" width="21.125" style="92" bestFit="1" customWidth="1"/>
    <col min="8184" max="8184" width="9.375" style="92" customWidth="1"/>
    <col min="8185" max="8189" width="8.625" style="92" customWidth="1"/>
    <col min="8190" max="8190" width="9.75" style="92" customWidth="1"/>
    <col min="8191" max="8438" width="9" style="92"/>
    <col min="8439" max="8439" width="21.125" style="92" bestFit="1" customWidth="1"/>
    <col min="8440" max="8440" width="9.375" style="92" customWidth="1"/>
    <col min="8441" max="8445" width="8.625" style="92" customWidth="1"/>
    <col min="8446" max="8446" width="9.75" style="92" customWidth="1"/>
    <col min="8447" max="8694" width="9" style="92"/>
    <col min="8695" max="8695" width="21.125" style="92" bestFit="1" customWidth="1"/>
    <col min="8696" max="8696" width="9.375" style="92" customWidth="1"/>
    <col min="8697" max="8701" width="8.625" style="92" customWidth="1"/>
    <col min="8702" max="8702" width="9.75" style="92" customWidth="1"/>
    <col min="8703" max="8950" width="9" style="92"/>
    <col min="8951" max="8951" width="21.125" style="92" bestFit="1" customWidth="1"/>
    <col min="8952" max="8952" width="9.375" style="92" customWidth="1"/>
    <col min="8953" max="8957" width="8.625" style="92" customWidth="1"/>
    <col min="8958" max="8958" width="9.75" style="92" customWidth="1"/>
    <col min="8959" max="9206" width="9" style="92"/>
    <col min="9207" max="9207" width="21.125" style="92" bestFit="1" customWidth="1"/>
    <col min="9208" max="9208" width="9.375" style="92" customWidth="1"/>
    <col min="9209" max="9213" width="8.625" style="92" customWidth="1"/>
    <col min="9214" max="9214" width="9.75" style="92" customWidth="1"/>
    <col min="9215" max="9462" width="9" style="92"/>
    <col min="9463" max="9463" width="21.125" style="92" bestFit="1" customWidth="1"/>
    <col min="9464" max="9464" width="9.375" style="92" customWidth="1"/>
    <col min="9465" max="9469" width="8.625" style="92" customWidth="1"/>
    <col min="9470" max="9470" width="9.75" style="92" customWidth="1"/>
    <col min="9471" max="9718" width="9" style="92"/>
    <col min="9719" max="9719" width="21.125" style="92" bestFit="1" customWidth="1"/>
    <col min="9720" max="9720" width="9.375" style="92" customWidth="1"/>
    <col min="9721" max="9725" width="8.625" style="92" customWidth="1"/>
    <col min="9726" max="9726" width="9.75" style="92" customWidth="1"/>
    <col min="9727" max="9974" width="9" style="92"/>
    <col min="9975" max="9975" width="21.125" style="92" bestFit="1" customWidth="1"/>
    <col min="9976" max="9976" width="9.375" style="92" customWidth="1"/>
    <col min="9977" max="9981" width="8.625" style="92" customWidth="1"/>
    <col min="9982" max="9982" width="9.75" style="92" customWidth="1"/>
    <col min="9983" max="10230" width="9" style="92"/>
    <col min="10231" max="10231" width="21.125" style="92" bestFit="1" customWidth="1"/>
    <col min="10232" max="10232" width="9.375" style="92" customWidth="1"/>
    <col min="10233" max="10237" width="8.625" style="92" customWidth="1"/>
    <col min="10238" max="10238" width="9.75" style="92" customWidth="1"/>
    <col min="10239" max="10486" width="9" style="92"/>
    <col min="10487" max="10487" width="21.125" style="92" bestFit="1" customWidth="1"/>
    <col min="10488" max="10488" width="9.375" style="92" customWidth="1"/>
    <col min="10489" max="10493" width="8.625" style="92" customWidth="1"/>
    <col min="10494" max="10494" width="9.75" style="92" customWidth="1"/>
    <col min="10495" max="10742" width="9" style="92"/>
    <col min="10743" max="10743" width="21.125" style="92" bestFit="1" customWidth="1"/>
    <col min="10744" max="10744" width="9.375" style="92" customWidth="1"/>
    <col min="10745" max="10749" width="8.625" style="92" customWidth="1"/>
    <col min="10750" max="10750" width="9.75" style="92" customWidth="1"/>
    <col min="10751" max="10998" width="9" style="92"/>
    <col min="10999" max="10999" width="21.125" style="92" bestFit="1" customWidth="1"/>
    <col min="11000" max="11000" width="9.375" style="92" customWidth="1"/>
    <col min="11001" max="11005" width="8.625" style="92" customWidth="1"/>
    <col min="11006" max="11006" width="9.75" style="92" customWidth="1"/>
    <col min="11007" max="11254" width="9" style="92"/>
    <col min="11255" max="11255" width="21.125" style="92" bestFit="1" customWidth="1"/>
    <col min="11256" max="11256" width="9.375" style="92" customWidth="1"/>
    <col min="11257" max="11261" width="8.625" style="92" customWidth="1"/>
    <col min="11262" max="11262" width="9.75" style="92" customWidth="1"/>
    <col min="11263" max="11510" width="9" style="92"/>
    <col min="11511" max="11511" width="21.125" style="92" bestFit="1" customWidth="1"/>
    <col min="11512" max="11512" width="9.375" style="92" customWidth="1"/>
    <col min="11513" max="11517" width="8.625" style="92" customWidth="1"/>
    <col min="11518" max="11518" width="9.75" style="92" customWidth="1"/>
    <col min="11519" max="11766" width="9" style="92"/>
    <col min="11767" max="11767" width="21.125" style="92" bestFit="1" customWidth="1"/>
    <col min="11768" max="11768" width="9.375" style="92" customWidth="1"/>
    <col min="11769" max="11773" width="8.625" style="92" customWidth="1"/>
    <col min="11774" max="11774" width="9.75" style="92" customWidth="1"/>
    <col min="11775" max="12022" width="9" style="92"/>
    <col min="12023" max="12023" width="21.125" style="92" bestFit="1" customWidth="1"/>
    <col min="12024" max="12024" width="9.375" style="92" customWidth="1"/>
    <col min="12025" max="12029" width="8.625" style="92" customWidth="1"/>
    <col min="12030" max="12030" width="9.75" style="92" customWidth="1"/>
    <col min="12031" max="12278" width="9" style="92"/>
    <col min="12279" max="12279" width="21.125" style="92" bestFit="1" customWidth="1"/>
    <col min="12280" max="12280" width="9.375" style="92" customWidth="1"/>
    <col min="12281" max="12285" width="8.625" style="92" customWidth="1"/>
    <col min="12286" max="12286" width="9.75" style="92" customWidth="1"/>
    <col min="12287" max="12534" width="9" style="92"/>
    <col min="12535" max="12535" width="21.125" style="92" bestFit="1" customWidth="1"/>
    <col min="12536" max="12536" width="9.375" style="92" customWidth="1"/>
    <col min="12537" max="12541" width="8.625" style="92" customWidth="1"/>
    <col min="12542" max="12542" width="9.75" style="92" customWidth="1"/>
    <col min="12543" max="12790" width="9" style="92"/>
    <col min="12791" max="12791" width="21.125" style="92" bestFit="1" customWidth="1"/>
    <col min="12792" max="12792" width="9.375" style="92" customWidth="1"/>
    <col min="12793" max="12797" width="8.625" style="92" customWidth="1"/>
    <col min="12798" max="12798" width="9.75" style="92" customWidth="1"/>
    <col min="12799" max="13046" width="9" style="92"/>
    <col min="13047" max="13047" width="21.125" style="92" bestFit="1" customWidth="1"/>
    <col min="13048" max="13048" width="9.375" style="92" customWidth="1"/>
    <col min="13049" max="13053" width="8.625" style="92" customWidth="1"/>
    <col min="13054" max="13054" width="9.75" style="92" customWidth="1"/>
    <col min="13055" max="13302" width="9" style="92"/>
    <col min="13303" max="13303" width="21.125" style="92" bestFit="1" customWidth="1"/>
    <col min="13304" max="13304" width="9.375" style="92" customWidth="1"/>
    <col min="13305" max="13309" width="8.625" style="92" customWidth="1"/>
    <col min="13310" max="13310" width="9.75" style="92" customWidth="1"/>
    <col min="13311" max="13558" width="9" style="92"/>
    <col min="13559" max="13559" width="21.125" style="92" bestFit="1" customWidth="1"/>
    <col min="13560" max="13560" width="9.375" style="92" customWidth="1"/>
    <col min="13561" max="13565" width="8.625" style="92" customWidth="1"/>
    <col min="13566" max="13566" width="9.75" style="92" customWidth="1"/>
    <col min="13567" max="13814" width="9" style="92"/>
    <col min="13815" max="13815" width="21.125" style="92" bestFit="1" customWidth="1"/>
    <col min="13816" max="13816" width="9.375" style="92" customWidth="1"/>
    <col min="13817" max="13821" width="8.625" style="92" customWidth="1"/>
    <col min="13822" max="13822" width="9.75" style="92" customWidth="1"/>
    <col min="13823" max="14070" width="9" style="92"/>
    <col min="14071" max="14071" width="21.125" style="92" bestFit="1" customWidth="1"/>
    <col min="14072" max="14072" width="9.375" style="92" customWidth="1"/>
    <col min="14073" max="14077" width="8.625" style="92" customWidth="1"/>
    <col min="14078" max="14078" width="9.75" style="92" customWidth="1"/>
    <col min="14079" max="14326" width="9" style="92"/>
    <col min="14327" max="14327" width="21.125" style="92" bestFit="1" customWidth="1"/>
    <col min="14328" max="14328" width="9.375" style="92" customWidth="1"/>
    <col min="14329" max="14333" width="8.625" style="92" customWidth="1"/>
    <col min="14334" max="14334" width="9.75" style="92" customWidth="1"/>
    <col min="14335" max="14582" width="9" style="92"/>
    <col min="14583" max="14583" width="21.125" style="92" bestFit="1" customWidth="1"/>
    <col min="14584" max="14584" width="9.375" style="92" customWidth="1"/>
    <col min="14585" max="14589" width="8.625" style="92" customWidth="1"/>
    <col min="14590" max="14590" width="9.75" style="92" customWidth="1"/>
    <col min="14591" max="14838" width="9" style="92"/>
    <col min="14839" max="14839" width="21.125" style="92" bestFit="1" customWidth="1"/>
    <col min="14840" max="14840" width="9.375" style="92" customWidth="1"/>
    <col min="14841" max="14845" width="8.625" style="92" customWidth="1"/>
    <col min="14846" max="14846" width="9.75" style="92" customWidth="1"/>
    <col min="14847" max="15094" width="9" style="92"/>
    <col min="15095" max="15095" width="21.125" style="92" bestFit="1" customWidth="1"/>
    <col min="15096" max="15096" width="9.375" style="92" customWidth="1"/>
    <col min="15097" max="15101" width="8.625" style="92" customWidth="1"/>
    <col min="15102" max="15102" width="9.75" style="92" customWidth="1"/>
    <col min="15103" max="15350" width="9" style="92"/>
    <col min="15351" max="15351" width="21.125" style="92" bestFit="1" customWidth="1"/>
    <col min="15352" max="15352" width="9.375" style="92" customWidth="1"/>
    <col min="15353" max="15357" width="8.625" style="92" customWidth="1"/>
    <col min="15358" max="15358" width="9.75" style="92" customWidth="1"/>
    <col min="15359" max="15606" width="9" style="92"/>
    <col min="15607" max="15607" width="21.125" style="92" bestFit="1" customWidth="1"/>
    <col min="15608" max="15608" width="9.375" style="92" customWidth="1"/>
    <col min="15609" max="15613" width="8.625" style="92" customWidth="1"/>
    <col min="15614" max="15614" width="9.75" style="92" customWidth="1"/>
    <col min="15615" max="15862" width="9" style="92"/>
    <col min="15863" max="15863" width="21.125" style="92" bestFit="1" customWidth="1"/>
    <col min="15864" max="15864" width="9.375" style="92" customWidth="1"/>
    <col min="15865" max="15869" width="8.625" style="92" customWidth="1"/>
    <col min="15870" max="15870" width="9.75" style="92" customWidth="1"/>
    <col min="15871" max="16118" width="9" style="92"/>
    <col min="16119" max="16119" width="21.125" style="92" bestFit="1" customWidth="1"/>
    <col min="16120" max="16120" width="9.375" style="92" customWidth="1"/>
    <col min="16121" max="16125" width="8.625" style="92" customWidth="1"/>
    <col min="16126" max="16126" width="9.75" style="92" customWidth="1"/>
    <col min="16127" max="16384" width="9" style="92"/>
  </cols>
  <sheetData>
    <row r="1" spans="1:14" s="289" customFormat="1" ht="20.100000000000001" customHeight="1">
      <c r="A1" s="287" t="s">
        <v>588</v>
      </c>
      <c r="B1" s="288"/>
      <c r="C1" s="288"/>
      <c r="D1" s="288"/>
      <c r="E1" s="288"/>
      <c r="F1" s="288"/>
      <c r="G1" s="288"/>
      <c r="H1" s="288"/>
      <c r="I1" s="288"/>
    </row>
    <row r="2" spans="1:14" ht="23.25" customHeight="1">
      <c r="A2" s="314" t="s">
        <v>551</v>
      </c>
      <c r="B2" s="314"/>
      <c r="C2" s="314"/>
      <c r="D2" s="314"/>
      <c r="E2" s="314"/>
      <c r="F2" s="314"/>
      <c r="G2" s="314"/>
      <c r="H2" s="314"/>
      <c r="I2" s="314"/>
      <c r="J2" s="314"/>
      <c r="K2" s="314"/>
      <c r="L2" s="93"/>
      <c r="M2" s="93"/>
    </row>
    <row r="3" spans="1:14" s="289" customFormat="1" ht="20.100000000000001" customHeight="1">
      <c r="A3" s="315" t="s">
        <v>107</v>
      </c>
      <c r="B3" s="316"/>
      <c r="C3" s="316"/>
      <c r="D3" s="316"/>
      <c r="E3" s="316"/>
      <c r="F3" s="316"/>
      <c r="G3" s="316"/>
      <c r="H3" s="316"/>
      <c r="I3" s="316"/>
      <c r="J3" s="316"/>
      <c r="K3" s="316"/>
      <c r="L3" s="290"/>
      <c r="M3" s="290"/>
    </row>
    <row r="4" spans="1:14" ht="35.25" customHeight="1">
      <c r="A4" s="317" t="s">
        <v>175</v>
      </c>
      <c r="B4" s="318" t="s">
        <v>176</v>
      </c>
      <c r="C4" s="318"/>
      <c r="D4" s="318"/>
      <c r="E4" s="318"/>
      <c r="F4" s="318"/>
      <c r="G4" s="318" t="s">
        <v>177</v>
      </c>
      <c r="H4" s="318" t="s">
        <v>178</v>
      </c>
      <c r="I4" s="318" t="s">
        <v>179</v>
      </c>
      <c r="J4" s="313" t="s">
        <v>180</v>
      </c>
      <c r="K4" s="313" t="s">
        <v>181</v>
      </c>
      <c r="L4" s="312" t="s">
        <v>182</v>
      </c>
      <c r="M4" s="312" t="s">
        <v>183</v>
      </c>
      <c r="N4" s="313" t="s">
        <v>550</v>
      </c>
    </row>
    <row r="5" spans="1:14" ht="35.25" customHeight="1">
      <c r="A5" s="317"/>
      <c r="B5" s="94" t="s">
        <v>184</v>
      </c>
      <c r="C5" s="94" t="s">
        <v>185</v>
      </c>
      <c r="D5" s="94" t="s">
        <v>186</v>
      </c>
      <c r="E5" s="94" t="s">
        <v>187</v>
      </c>
      <c r="F5" s="94" t="s">
        <v>188</v>
      </c>
      <c r="G5" s="318"/>
      <c r="H5" s="318"/>
      <c r="I5" s="318"/>
      <c r="J5" s="313"/>
      <c r="K5" s="313"/>
      <c r="L5" s="312"/>
      <c r="M5" s="312"/>
      <c r="N5" s="313"/>
    </row>
    <row r="6" spans="1:14" ht="30" customHeight="1">
      <c r="A6" s="95" t="s">
        <v>189</v>
      </c>
      <c r="B6" s="96">
        <v>52492.071469999995</v>
      </c>
      <c r="C6" s="96">
        <f>B6</f>
        <v>52492.071469999995</v>
      </c>
      <c r="D6" s="97">
        <v>46592.680456710004</v>
      </c>
      <c r="E6" s="98">
        <v>47321.539288</v>
      </c>
      <c r="F6" s="99">
        <f>E6/D6</f>
        <v>1.0156432045580033</v>
      </c>
      <c r="G6" s="98">
        <v>72.551531999999995</v>
      </c>
      <c r="H6" s="98">
        <v>16.251999999999999</v>
      </c>
      <c r="I6" s="98">
        <v>5767.5611299999991</v>
      </c>
      <c r="J6" s="100">
        <f t="shared" ref="J6:J28" si="0">SUM(E6,G6:I6)</f>
        <v>53177.90395</v>
      </c>
      <c r="K6" s="101">
        <f>J6/J29</f>
        <v>8.0661258392924734E-2</v>
      </c>
      <c r="L6" s="102">
        <v>51964</v>
      </c>
      <c r="M6" s="102">
        <v>40571.928591999997</v>
      </c>
      <c r="N6" s="100">
        <v>57443</v>
      </c>
    </row>
    <row r="7" spans="1:14" ht="30" customHeight="1">
      <c r="A7" s="95" t="s">
        <v>190</v>
      </c>
      <c r="B7" s="96">
        <v>205.6</v>
      </c>
      <c r="C7" s="96">
        <f t="shared" ref="C7:C28" si="1">B7</f>
        <v>205.6</v>
      </c>
      <c r="D7" s="97">
        <v>152.02113101999998</v>
      </c>
      <c r="E7" s="98">
        <v>156.35701</v>
      </c>
      <c r="F7" s="99">
        <f t="shared" ref="F7:F29" si="2">E7/D7</f>
        <v>1.0285215545425037</v>
      </c>
      <c r="G7" s="98">
        <v>0</v>
      </c>
      <c r="H7" s="98"/>
      <c r="I7" s="98"/>
      <c r="J7" s="100">
        <f t="shared" si="0"/>
        <v>156.35701</v>
      </c>
      <c r="K7" s="101">
        <f>J7/J29</f>
        <v>2.3716529325814312E-4</v>
      </c>
      <c r="L7" s="102">
        <v>156</v>
      </c>
      <c r="M7" s="102">
        <v>167.89670000000001</v>
      </c>
      <c r="N7" s="100">
        <v>147</v>
      </c>
    </row>
    <row r="8" spans="1:14" ht="30" customHeight="1">
      <c r="A8" s="95" t="s">
        <v>191</v>
      </c>
      <c r="B8" s="96">
        <v>22229.647788000002</v>
      </c>
      <c r="C8" s="96">
        <f t="shared" si="1"/>
        <v>22229.647788000002</v>
      </c>
      <c r="D8" s="97">
        <v>20095.172396829999</v>
      </c>
      <c r="E8" s="98">
        <v>20467.430291999997</v>
      </c>
      <c r="F8" s="99">
        <f t="shared" si="2"/>
        <v>1.0185247425510378</v>
      </c>
      <c r="G8" s="98">
        <v>733.86295300000006</v>
      </c>
      <c r="H8" s="98">
        <v>1979.4971190000001</v>
      </c>
      <c r="I8" s="98">
        <v>942.47973999999988</v>
      </c>
      <c r="J8" s="100">
        <f t="shared" si="0"/>
        <v>24123.270103999996</v>
      </c>
      <c r="K8" s="101">
        <f>J8/J29</f>
        <v>3.6590635933499593E-2</v>
      </c>
      <c r="L8" s="102">
        <v>17596</v>
      </c>
      <c r="M8" s="102">
        <v>22077.335790000001</v>
      </c>
      <c r="N8" s="100">
        <v>22082</v>
      </c>
    </row>
    <row r="9" spans="1:14" ht="30" customHeight="1">
      <c r="A9" s="95" t="s">
        <v>192</v>
      </c>
      <c r="B9" s="96">
        <v>104936.989736</v>
      </c>
      <c r="C9" s="96">
        <f t="shared" si="1"/>
        <v>104936.989736</v>
      </c>
      <c r="D9" s="97">
        <v>95810.16980992</v>
      </c>
      <c r="E9" s="98">
        <v>96118.194354000007</v>
      </c>
      <c r="F9" s="99">
        <f t="shared" si="2"/>
        <v>1.0032149462284756</v>
      </c>
      <c r="G9" s="98">
        <v>2649.1976680000007</v>
      </c>
      <c r="H9" s="98">
        <v>47534.592864000006</v>
      </c>
      <c r="I9" s="98">
        <v>3694.6651259999999</v>
      </c>
      <c r="J9" s="100">
        <f t="shared" si="0"/>
        <v>149996.65001200003</v>
      </c>
      <c r="K9" s="101">
        <f>J9/J29</f>
        <v>0.22751777798664122</v>
      </c>
      <c r="L9" s="102">
        <v>127806</v>
      </c>
      <c r="M9" s="102">
        <v>143357.994229</v>
      </c>
      <c r="N9" s="100">
        <v>146696</v>
      </c>
    </row>
    <row r="10" spans="1:14" ht="30" customHeight="1">
      <c r="A10" s="95" t="s">
        <v>193</v>
      </c>
      <c r="B10" s="96">
        <v>97.703000000000003</v>
      </c>
      <c r="C10" s="96">
        <f t="shared" si="1"/>
        <v>97.703000000000003</v>
      </c>
      <c r="D10" s="97">
        <v>123.00895177999999</v>
      </c>
      <c r="E10" s="98">
        <v>128.74160000000001</v>
      </c>
      <c r="F10" s="99">
        <f t="shared" si="2"/>
        <v>1.0466035043551365</v>
      </c>
      <c r="G10" s="98">
        <v>2625.9764</v>
      </c>
      <c r="H10" s="98">
        <v>5399</v>
      </c>
      <c r="I10" s="98">
        <v>5733.8127500000001</v>
      </c>
      <c r="J10" s="100">
        <f t="shared" si="0"/>
        <v>13887.53075</v>
      </c>
      <c r="K10" s="101">
        <f>J10/J29</f>
        <v>2.1064871366849685E-2</v>
      </c>
      <c r="L10" s="102">
        <v>6330</v>
      </c>
      <c r="M10" s="102">
        <v>2450.7027699999999</v>
      </c>
      <c r="N10" s="100">
        <v>6993</v>
      </c>
    </row>
    <row r="11" spans="1:14" ht="32.1" customHeight="1">
      <c r="A11" s="95" t="s">
        <v>194</v>
      </c>
      <c r="B11" s="96">
        <v>1171.5383999999999</v>
      </c>
      <c r="C11" s="96">
        <f t="shared" si="1"/>
        <v>1171.5383999999999</v>
      </c>
      <c r="D11" s="97">
        <v>12510.1481831</v>
      </c>
      <c r="E11" s="98">
        <v>1529.154867999998</v>
      </c>
      <c r="F11" s="99">
        <f t="shared" si="2"/>
        <v>0.1222331538858779</v>
      </c>
      <c r="G11" s="98">
        <v>322.71019999999999</v>
      </c>
      <c r="H11" s="98">
        <v>534.16470000000004</v>
      </c>
      <c r="I11" s="98">
        <v>11176.246577</v>
      </c>
      <c r="J11" s="100">
        <f t="shared" si="0"/>
        <v>13562.276344999998</v>
      </c>
      <c r="K11" s="101">
        <f>J11/J29</f>
        <v>2.0571519285319553E-2</v>
      </c>
      <c r="L11" s="102">
        <v>9855</v>
      </c>
      <c r="M11" s="102">
        <v>16394.63423</v>
      </c>
      <c r="N11" s="100">
        <v>18565</v>
      </c>
    </row>
    <row r="12" spans="1:14" ht="32.1" customHeight="1">
      <c r="A12" s="95" t="s">
        <v>195</v>
      </c>
      <c r="B12" s="96">
        <v>65293.619900999998</v>
      </c>
      <c r="C12" s="96">
        <f t="shared" si="1"/>
        <v>65293.619900999998</v>
      </c>
      <c r="D12" s="97">
        <v>52094.613593989998</v>
      </c>
      <c r="E12" s="98">
        <v>53679.858420000412</v>
      </c>
      <c r="F12" s="99">
        <f t="shared" si="2"/>
        <v>1.0304301100755895</v>
      </c>
      <c r="G12" s="98">
        <v>2667.999832</v>
      </c>
      <c r="H12" s="98">
        <v>63662.868224999998</v>
      </c>
      <c r="I12" s="98">
        <v>1726.3531800000001</v>
      </c>
      <c r="J12" s="100">
        <f t="shared" si="0"/>
        <v>121737.07965700042</v>
      </c>
      <c r="K12" s="101">
        <f>J12/J29</f>
        <v>0.18465312298593092</v>
      </c>
      <c r="L12" s="102">
        <v>73532</v>
      </c>
      <c r="M12" s="102">
        <v>65783.521682999999</v>
      </c>
      <c r="N12" s="100">
        <v>111514</v>
      </c>
    </row>
    <row r="13" spans="1:14" ht="30" customHeight="1">
      <c r="A13" s="95" t="s">
        <v>196</v>
      </c>
      <c r="B13" s="96">
        <v>16705.361599999997</v>
      </c>
      <c r="C13" s="96">
        <f t="shared" si="1"/>
        <v>16705.361599999997</v>
      </c>
      <c r="D13" s="97">
        <v>11818.85778516</v>
      </c>
      <c r="E13" s="98">
        <v>12433.571698000003</v>
      </c>
      <c r="F13" s="99">
        <f t="shared" si="2"/>
        <v>1.0520112792635385</v>
      </c>
      <c r="G13" s="98">
        <v>843.81219800000008</v>
      </c>
      <c r="H13" s="98">
        <v>86671.215840000004</v>
      </c>
      <c r="I13" s="98">
        <v>2922.8498649999997</v>
      </c>
      <c r="J13" s="100">
        <f t="shared" si="0"/>
        <v>102871.449601</v>
      </c>
      <c r="K13" s="101">
        <f>J13/J29</f>
        <v>0.15603737569880272</v>
      </c>
      <c r="L13" s="102">
        <v>95306</v>
      </c>
      <c r="M13" s="102">
        <v>84714.863887999993</v>
      </c>
      <c r="N13" s="100">
        <v>95155</v>
      </c>
    </row>
    <row r="14" spans="1:14" ht="30" customHeight="1">
      <c r="A14" s="95" t="s">
        <v>197</v>
      </c>
      <c r="B14" s="96">
        <v>1658.6792</v>
      </c>
      <c r="C14" s="96">
        <f t="shared" si="1"/>
        <v>1658.6792</v>
      </c>
      <c r="D14" s="97">
        <v>1269.79826488</v>
      </c>
      <c r="E14" s="98">
        <v>1084.1328820000001</v>
      </c>
      <c r="F14" s="99">
        <f t="shared" si="2"/>
        <v>0.85378355915650439</v>
      </c>
      <c r="G14" s="98">
        <v>955.87201200000015</v>
      </c>
      <c r="H14" s="98">
        <v>22183.999999999993</v>
      </c>
      <c r="I14" s="98">
        <v>36424.284619999991</v>
      </c>
      <c r="J14" s="100">
        <f t="shared" si="0"/>
        <v>60648.289513999989</v>
      </c>
      <c r="K14" s="101">
        <f>J14/J29</f>
        <v>9.1992481617501981E-2</v>
      </c>
      <c r="L14" s="102">
        <v>22077</v>
      </c>
      <c r="M14" s="102">
        <v>42871</v>
      </c>
      <c r="N14" s="100">
        <v>28414</v>
      </c>
    </row>
    <row r="15" spans="1:14" ht="30" customHeight="1">
      <c r="A15" s="95" t="s">
        <v>198</v>
      </c>
      <c r="B15" s="96">
        <v>5026.9032360000001</v>
      </c>
      <c r="C15" s="96">
        <f t="shared" si="1"/>
        <v>5026.9032360000001</v>
      </c>
      <c r="D15" s="97">
        <v>4945.7207629800005</v>
      </c>
      <c r="E15" s="98">
        <v>4589.695083999999</v>
      </c>
      <c r="F15" s="99">
        <f t="shared" si="2"/>
        <v>0.92801338853480253</v>
      </c>
      <c r="G15" s="98">
        <v>29.248878000000001</v>
      </c>
      <c r="H15" s="98">
        <v>1117</v>
      </c>
      <c r="I15" s="98">
        <v>3867.87</v>
      </c>
      <c r="J15" s="100">
        <f t="shared" si="0"/>
        <v>9603.8139620000002</v>
      </c>
      <c r="K15" s="101">
        <f>J15/J29</f>
        <v>1.4567248086250685E-2</v>
      </c>
      <c r="L15" s="102">
        <v>20198</v>
      </c>
      <c r="M15" s="102">
        <v>13855.76928</v>
      </c>
      <c r="N15" s="100">
        <v>27812</v>
      </c>
    </row>
    <row r="16" spans="1:14" ht="30" customHeight="1">
      <c r="A16" s="95" t="s">
        <v>199</v>
      </c>
      <c r="B16" s="96">
        <v>20399.535693000002</v>
      </c>
      <c r="C16" s="96">
        <f t="shared" si="1"/>
        <v>20399.535693000002</v>
      </c>
      <c r="D16" s="97">
        <v>9435.4629184500009</v>
      </c>
      <c r="E16" s="98">
        <v>8256.5952469999902</v>
      </c>
      <c r="F16" s="99">
        <f t="shared" si="2"/>
        <v>0.87505990096735309</v>
      </c>
      <c r="G16" s="98">
        <v>1935.208404</v>
      </c>
      <c r="H16" s="98">
        <v>42022.656161999992</v>
      </c>
      <c r="I16" s="98">
        <v>18468.767599999996</v>
      </c>
      <c r="J16" s="100">
        <f t="shared" si="0"/>
        <v>70683.227412999971</v>
      </c>
      <c r="K16" s="101">
        <f>J16/J29</f>
        <v>0.10721366670951407</v>
      </c>
      <c r="L16" s="102">
        <v>44920</v>
      </c>
      <c r="M16" s="102">
        <v>59259.451654000004</v>
      </c>
      <c r="N16" s="100">
        <v>58428</v>
      </c>
    </row>
    <row r="17" spans="1:14" ht="30" customHeight="1">
      <c r="A17" s="95" t="s">
        <v>200</v>
      </c>
      <c r="B17" s="96">
        <v>1281.8656560000002</v>
      </c>
      <c r="C17" s="96">
        <f t="shared" si="1"/>
        <v>1281.8656560000002</v>
      </c>
      <c r="D17" s="97">
        <v>2486.0625916700001</v>
      </c>
      <c r="E17" s="98">
        <v>2245.6290440000012</v>
      </c>
      <c r="F17" s="99">
        <f t="shared" si="2"/>
        <v>0.90328741179903727</v>
      </c>
      <c r="G17" s="98">
        <v>496.21</v>
      </c>
      <c r="H17" s="98">
        <v>1457.54315</v>
      </c>
      <c r="I17" s="98">
        <v>2311.5237499999998</v>
      </c>
      <c r="J17" s="100">
        <f t="shared" si="0"/>
        <v>6510.9059440000019</v>
      </c>
      <c r="K17" s="101">
        <f>J17/J29</f>
        <v>9.8758662472820859E-3</v>
      </c>
      <c r="L17" s="102">
        <v>3846</v>
      </c>
      <c r="M17" s="102">
        <v>7136.2701529999995</v>
      </c>
      <c r="N17" s="100">
        <v>3750</v>
      </c>
    </row>
    <row r="18" spans="1:14" ht="32.1" customHeight="1">
      <c r="A18" s="95" t="s">
        <v>201</v>
      </c>
      <c r="B18" s="96">
        <v>220</v>
      </c>
      <c r="C18" s="96">
        <f t="shared" si="1"/>
        <v>220</v>
      </c>
      <c r="D18" s="97">
        <v>21.385999999999999</v>
      </c>
      <c r="E18" s="98">
        <v>20</v>
      </c>
      <c r="F18" s="99">
        <f t="shared" si="2"/>
        <v>0.9351912466099318</v>
      </c>
      <c r="G18" s="98">
        <v>0</v>
      </c>
      <c r="H18" s="98"/>
      <c r="I18" s="98">
        <v>4033.5354000000002</v>
      </c>
      <c r="J18" s="100">
        <f t="shared" si="0"/>
        <v>4053.5354000000002</v>
      </c>
      <c r="K18" s="101">
        <f>J18/J29</f>
        <v>6.1484797635441126E-3</v>
      </c>
      <c r="L18" s="102">
        <v>2630</v>
      </c>
      <c r="M18" s="102">
        <v>1861.0840779999999</v>
      </c>
      <c r="N18" s="100">
        <v>390</v>
      </c>
    </row>
    <row r="19" spans="1:14" ht="30" customHeight="1">
      <c r="A19" s="95" t="s">
        <v>202</v>
      </c>
      <c r="B19" s="96">
        <v>786.13847499999997</v>
      </c>
      <c r="C19" s="96">
        <f t="shared" si="1"/>
        <v>786.13847499999997</v>
      </c>
      <c r="D19" s="97">
        <v>1145.14609058</v>
      </c>
      <c r="E19" s="98">
        <v>1080.0232190000002</v>
      </c>
      <c r="F19" s="99">
        <f t="shared" si="2"/>
        <v>0.94313138549246933</v>
      </c>
      <c r="G19" s="98">
        <v>74.144300000000001</v>
      </c>
      <c r="H19" s="98"/>
      <c r="I19" s="98">
        <v>331.74900000000002</v>
      </c>
      <c r="J19" s="100">
        <f t="shared" si="0"/>
        <v>1485.9165190000001</v>
      </c>
      <c r="K19" s="101">
        <f>J19/J29</f>
        <v>2.2538665006817042E-3</v>
      </c>
      <c r="L19" s="102">
        <v>509</v>
      </c>
      <c r="M19" s="102">
        <v>702.49775</v>
      </c>
      <c r="N19" s="100">
        <v>447</v>
      </c>
    </row>
    <row r="20" spans="1:14" ht="30" customHeight="1">
      <c r="A20" s="95" t="s">
        <v>203</v>
      </c>
      <c r="B20" s="96">
        <v>188.02199999999999</v>
      </c>
      <c r="C20" s="96">
        <f t="shared" si="1"/>
        <v>188.02199999999999</v>
      </c>
      <c r="D20" s="97">
        <v>197.95587337999999</v>
      </c>
      <c r="E20" s="98">
        <v>185.12662399999999</v>
      </c>
      <c r="F20" s="99"/>
      <c r="G20" s="98">
        <v>30</v>
      </c>
      <c r="H20" s="98"/>
      <c r="I20" s="98">
        <v>19.98</v>
      </c>
      <c r="J20" s="100">
        <f t="shared" si="0"/>
        <v>235.10662399999998</v>
      </c>
      <c r="K20" s="101">
        <f>J20/J29</f>
        <v>3.566142089049412E-4</v>
      </c>
      <c r="L20" s="102">
        <v>91</v>
      </c>
      <c r="M20" s="102">
        <v>139</v>
      </c>
      <c r="N20" s="100">
        <v>40</v>
      </c>
    </row>
    <row r="21" spans="1:14" ht="32.1" customHeight="1">
      <c r="A21" s="95" t="s">
        <v>204</v>
      </c>
      <c r="B21" s="96">
        <v>462</v>
      </c>
      <c r="C21" s="96">
        <f t="shared" si="1"/>
        <v>462</v>
      </c>
      <c r="D21" s="97">
        <v>434.75131942000002</v>
      </c>
      <c r="E21" s="98">
        <v>355.32032399999997</v>
      </c>
      <c r="F21" s="99">
        <f t="shared" si="2"/>
        <v>0.81729556214810661</v>
      </c>
      <c r="G21" s="98">
        <v>393.81016699999998</v>
      </c>
      <c r="H21" s="98"/>
      <c r="I21" s="98">
        <v>500</v>
      </c>
      <c r="J21" s="100">
        <f t="shared" si="0"/>
        <v>1249.1304909999999</v>
      </c>
      <c r="K21" s="101">
        <f>J21/J29</f>
        <v>1.8947049397766258E-3</v>
      </c>
      <c r="L21" s="102">
        <v>3198</v>
      </c>
      <c r="M21" s="102">
        <v>5296.2878849999997</v>
      </c>
      <c r="N21" s="100">
        <v>1272</v>
      </c>
    </row>
    <row r="22" spans="1:14" ht="30" customHeight="1">
      <c r="A22" s="95" t="s">
        <v>205</v>
      </c>
      <c r="B22" s="96">
        <v>15287.712318</v>
      </c>
      <c r="C22" s="96">
        <f t="shared" si="1"/>
        <v>15287.712318</v>
      </c>
      <c r="D22" s="97">
        <v>13449.146417169999</v>
      </c>
      <c r="E22" s="98">
        <v>14697.519334999997</v>
      </c>
      <c r="F22" s="99">
        <f t="shared" si="2"/>
        <v>1.0928217211046383</v>
      </c>
      <c r="G22" s="98">
        <v>24.78</v>
      </c>
      <c r="H22" s="98"/>
      <c r="I22" s="98">
        <v>5.7645</v>
      </c>
      <c r="J22" s="100">
        <f t="shared" si="0"/>
        <v>14728.063834999997</v>
      </c>
      <c r="K22" s="101">
        <f>J22/J29</f>
        <v>2.2339807972488256E-2</v>
      </c>
      <c r="L22" s="102">
        <v>11344</v>
      </c>
      <c r="M22" s="102">
        <v>8498.2859559999997</v>
      </c>
      <c r="N22" s="100">
        <v>14408</v>
      </c>
    </row>
    <row r="23" spans="1:14" ht="30" customHeight="1">
      <c r="A23" s="95" t="s">
        <v>206</v>
      </c>
      <c r="B23" s="96">
        <v>3045.79</v>
      </c>
      <c r="C23" s="96">
        <f t="shared" si="1"/>
        <v>3045.79</v>
      </c>
      <c r="D23" s="97">
        <v>2986.7731306800001</v>
      </c>
      <c r="E23" s="98">
        <v>3013.8853760000002</v>
      </c>
      <c r="F23" s="99">
        <f t="shared" si="2"/>
        <v>1.0090774371315665</v>
      </c>
      <c r="G23" s="98">
        <v>4</v>
      </c>
      <c r="H23" s="98"/>
      <c r="I23" s="98"/>
      <c r="J23" s="100">
        <f t="shared" si="0"/>
        <v>3017.8853760000002</v>
      </c>
      <c r="K23" s="101">
        <f>J23/J29</f>
        <v>4.5775860654952505E-3</v>
      </c>
      <c r="L23" s="102">
        <v>1068</v>
      </c>
      <c r="M23" s="102">
        <v>1063.1440849999999</v>
      </c>
      <c r="N23" s="100">
        <v>1101</v>
      </c>
    </row>
    <row r="24" spans="1:14" ht="32.1" customHeight="1">
      <c r="A24" s="95" t="s">
        <v>207</v>
      </c>
      <c r="B24" s="96">
        <v>2463.3040879999999</v>
      </c>
      <c r="C24" s="96">
        <f t="shared" si="1"/>
        <v>2463.3040879999999</v>
      </c>
      <c r="D24" s="97">
        <v>2360.5387367600001</v>
      </c>
      <c r="E24" s="98">
        <v>2548.2915899999994</v>
      </c>
      <c r="F24" s="99">
        <f t="shared" si="2"/>
        <v>1.0795381369160257</v>
      </c>
      <c r="G24" s="98">
        <v>356.22961000000004</v>
      </c>
      <c r="H24" s="98">
        <v>55.55</v>
      </c>
      <c r="I24" s="98">
        <v>83.14</v>
      </c>
      <c r="J24" s="100">
        <f t="shared" si="0"/>
        <v>3043.2111999999993</v>
      </c>
      <c r="K24" s="101">
        <f>J24/J29</f>
        <v>4.6160007581013823E-3</v>
      </c>
      <c r="L24" s="103"/>
      <c r="M24" s="103"/>
      <c r="N24" s="100">
        <v>2929</v>
      </c>
    </row>
    <row r="25" spans="1:14" ht="24.95" customHeight="1">
      <c r="A25" s="278" t="s">
        <v>582</v>
      </c>
      <c r="B25" s="284">
        <v>1000</v>
      </c>
      <c r="C25" s="284"/>
      <c r="D25" s="285"/>
      <c r="E25" s="279"/>
      <c r="F25" s="280"/>
      <c r="G25" s="279"/>
      <c r="H25" s="279"/>
      <c r="I25" s="279"/>
      <c r="J25" s="281"/>
      <c r="K25" s="282"/>
      <c r="L25" s="283"/>
      <c r="M25" s="283"/>
      <c r="N25" s="281"/>
    </row>
    <row r="26" spans="1:14" ht="24.95" customHeight="1">
      <c r="A26" s="95" t="s">
        <v>208</v>
      </c>
      <c r="B26" s="96">
        <v>12738.620500999999</v>
      </c>
      <c r="C26" s="96">
        <f t="shared" si="1"/>
        <v>12738.620500999999</v>
      </c>
      <c r="D26" s="97">
        <v>1187.9523999999999</v>
      </c>
      <c r="E26" s="98">
        <v>1258.1196639999998</v>
      </c>
      <c r="F26" s="99">
        <f t="shared" si="2"/>
        <v>1.0590657201416487</v>
      </c>
      <c r="G26" s="98"/>
      <c r="H26" s="98"/>
      <c r="I26" s="98"/>
      <c r="J26" s="100">
        <f t="shared" si="0"/>
        <v>1258.1196639999998</v>
      </c>
      <c r="K26" s="101">
        <f>J26/J29</f>
        <v>1.9083398887353783E-3</v>
      </c>
      <c r="L26" s="102">
        <v>567</v>
      </c>
      <c r="M26" s="102">
        <v>1440.210691</v>
      </c>
      <c r="N26" s="100">
        <v>704</v>
      </c>
    </row>
    <row r="27" spans="1:14" ht="24.95" customHeight="1">
      <c r="A27" s="95" t="s">
        <v>209</v>
      </c>
      <c r="B27" s="96">
        <v>4585.9861999999994</v>
      </c>
      <c r="C27" s="96">
        <f t="shared" si="1"/>
        <v>4585.9861999999994</v>
      </c>
      <c r="D27" s="97">
        <v>3184.4911999999999</v>
      </c>
      <c r="E27" s="98">
        <v>2300.8795</v>
      </c>
      <c r="F27" s="99">
        <f t="shared" si="2"/>
        <v>0.72252656876552213</v>
      </c>
      <c r="G27" s="98"/>
      <c r="H27" s="98"/>
      <c r="I27" s="98">
        <v>925.53772200000003</v>
      </c>
      <c r="J27" s="100">
        <f t="shared" si="0"/>
        <v>3226.417222</v>
      </c>
      <c r="K27" s="101">
        <f>J27/J29</f>
        <v>4.8938911445591945E-3</v>
      </c>
      <c r="L27" s="102">
        <v>1979</v>
      </c>
      <c r="M27" s="102">
        <v>2347.6280320000001</v>
      </c>
      <c r="N27" s="100">
        <v>2242</v>
      </c>
    </row>
    <row r="28" spans="1:14" ht="24.95" customHeight="1">
      <c r="A28" s="95" t="s">
        <v>210</v>
      </c>
      <c r="B28" s="96">
        <v>42.759813000000001</v>
      </c>
      <c r="C28" s="96">
        <f t="shared" si="1"/>
        <v>42.759813000000001</v>
      </c>
      <c r="D28" s="98">
        <v>18.274529000000001</v>
      </c>
      <c r="E28" s="98">
        <v>18.274529000000001</v>
      </c>
      <c r="F28" s="99">
        <f t="shared" si="2"/>
        <v>1</v>
      </c>
      <c r="G28" s="98"/>
      <c r="H28" s="98"/>
      <c r="I28" s="98"/>
      <c r="J28" s="100">
        <f t="shared" si="0"/>
        <v>18.274529000000001</v>
      </c>
      <c r="K28" s="101">
        <f>J28/J29</f>
        <v>2.7719153937769985E-5</v>
      </c>
      <c r="L28" s="102">
        <v>41</v>
      </c>
      <c r="M28" s="102">
        <v>3.2639300000000002</v>
      </c>
      <c r="N28" s="100">
        <v>12</v>
      </c>
    </row>
    <row r="29" spans="1:14" ht="24.95" customHeight="1">
      <c r="A29" s="104" t="s">
        <v>211</v>
      </c>
      <c r="B29" s="105">
        <f>SUM(B6:B28)</f>
        <v>332319.84907499992</v>
      </c>
      <c r="C29" s="105">
        <f t="shared" ref="C29:J29" si="3">SUM(C6:C28)</f>
        <v>331319.84907499992</v>
      </c>
      <c r="D29" s="105">
        <f t="shared" si="3"/>
        <v>282320.13254348002</v>
      </c>
      <c r="E29" s="105">
        <f t="shared" si="3"/>
        <v>273488.33994800039</v>
      </c>
      <c r="F29" s="106">
        <f t="shared" si="2"/>
        <v>0.96871709957092966</v>
      </c>
      <c r="G29" s="105">
        <f t="shared" si="3"/>
        <v>14215.614153999999</v>
      </c>
      <c r="H29" s="105">
        <f t="shared" si="3"/>
        <v>272634.34005999996</v>
      </c>
      <c r="I29" s="105">
        <f t="shared" si="3"/>
        <v>98936.120959999957</v>
      </c>
      <c r="J29" s="105">
        <f t="shared" si="3"/>
        <v>659274.41512200038</v>
      </c>
      <c r="K29" s="101">
        <f>SUM(K6:K27)</f>
        <v>0.99997228084606227</v>
      </c>
      <c r="L29" s="102">
        <f>SUM(L6:L28)</f>
        <v>495013</v>
      </c>
      <c r="M29" s="102">
        <v>519992.7713759999</v>
      </c>
      <c r="N29" s="105">
        <v>600544</v>
      </c>
    </row>
    <row r="31" spans="1:14">
      <c r="J31" s="107"/>
    </row>
    <row r="35" spans="1:6" ht="42.75">
      <c r="A35" s="108"/>
      <c r="B35" s="109" t="s">
        <v>212</v>
      </c>
      <c r="C35" s="109" t="s">
        <v>213</v>
      </c>
      <c r="D35" s="110" t="s">
        <v>214</v>
      </c>
      <c r="E35" s="110" t="s">
        <v>215</v>
      </c>
      <c r="F35" s="110" t="s">
        <v>216</v>
      </c>
    </row>
    <row r="36" spans="1:6">
      <c r="A36" s="111">
        <v>2020</v>
      </c>
      <c r="B36" s="112">
        <f>(SUM(J11:J17)+J22+J9+J23)/J29</f>
        <v>0.83934645265522656</v>
      </c>
      <c r="C36" s="112">
        <f>(SUM(E11:E17)+E22+E9+E23)/E29</f>
        <v>0.72269346600143969</v>
      </c>
      <c r="D36" s="113">
        <f>(SUM(J11:J17)+J22+J9+J23)</f>
        <v>553359.64165900031</v>
      </c>
      <c r="E36" s="113">
        <f>(SUM(E11:E17)+E22+E9+E23)</f>
        <v>197648.2363080004</v>
      </c>
      <c r="F36" s="114">
        <f>J6+J8+J9+J10+J12+J13+J14+J15</f>
        <v>536045.98755000043</v>
      </c>
    </row>
    <row r="37" spans="1:6">
      <c r="A37" s="111">
        <v>2019</v>
      </c>
      <c r="B37" s="112">
        <v>0.84230797410347946</v>
      </c>
      <c r="C37" s="112">
        <v>0.73473448620796367</v>
      </c>
      <c r="D37" s="113">
        <v>505843</v>
      </c>
      <c r="E37" s="113">
        <v>204193</v>
      </c>
      <c r="F37" s="114">
        <v>496109</v>
      </c>
    </row>
    <row r="38" spans="1:6">
      <c r="A38" s="111">
        <v>2018</v>
      </c>
      <c r="B38" s="112">
        <v>0.85180979340522323</v>
      </c>
      <c r="C38" s="112">
        <v>0.76718352290408842</v>
      </c>
      <c r="D38" s="113">
        <v>442934.93515799998</v>
      </c>
      <c r="E38" s="113">
        <v>219497.93515800001</v>
      </c>
      <c r="F38" s="113">
        <v>415683.11623200006</v>
      </c>
    </row>
    <row r="39" spans="1:6">
      <c r="A39" s="115">
        <v>2017</v>
      </c>
      <c r="B39" s="112">
        <v>0.82816410882138447</v>
      </c>
      <c r="C39" s="112">
        <v>0.75376794635537459</v>
      </c>
      <c r="D39" s="113"/>
      <c r="E39" s="113"/>
      <c r="F39" s="113">
        <v>414809</v>
      </c>
    </row>
  </sheetData>
  <mergeCells count="12">
    <mergeCell ref="L4:L5"/>
    <mergeCell ref="M4:M5"/>
    <mergeCell ref="N4:N5"/>
    <mergeCell ref="A2:K2"/>
    <mergeCell ref="A3:K3"/>
    <mergeCell ref="A4:A5"/>
    <mergeCell ref="B4:F4"/>
    <mergeCell ref="G4:G5"/>
    <mergeCell ref="H4:H5"/>
    <mergeCell ref="I4:I5"/>
    <mergeCell ref="J4:J5"/>
    <mergeCell ref="K4:K5"/>
  </mergeCells>
  <phoneticPr fontId="5" type="noConversion"/>
  <printOptions horizontalCentered="1"/>
  <pageMargins left="0.59055118110236227" right="0.59055118110236227" top="0.47244094488188981" bottom="0.47244094488188981" header="0.31496062992125984" footer="0.31496062992125984"/>
  <pageSetup paperSize="9" scale="90" fitToHeight="0" orientation="portrait"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P23"/>
  <sheetViews>
    <sheetView workbookViewId="0">
      <selection activeCell="L19" sqref="L19"/>
    </sheetView>
  </sheetViews>
  <sheetFormatPr defaultColWidth="8" defaultRowHeight="13.5"/>
  <cols>
    <col min="1" max="1" width="30.625" style="187" customWidth="1"/>
    <col min="2" max="5" width="22.625" style="187" customWidth="1"/>
    <col min="6" max="6" width="15.625" style="187" customWidth="1"/>
    <col min="7" max="250" width="8" style="165"/>
    <col min="251" max="251" width="0" style="165" hidden="1" customWidth="1"/>
    <col min="252" max="252" width="16.625" style="165" bestFit="1" customWidth="1"/>
    <col min="253" max="253" width="29.25" style="165" bestFit="1" customWidth="1"/>
    <col min="254" max="254" width="32.75" style="165" customWidth="1"/>
    <col min="255" max="256" width="31.5" style="165" customWidth="1"/>
    <col min="257" max="257" width="23" style="165" bestFit="1" customWidth="1"/>
    <col min="258" max="258" width="17.125" style="165" customWidth="1"/>
    <col min="259" max="506" width="8" style="165"/>
    <col min="507" max="507" width="0" style="165" hidden="1" customWidth="1"/>
    <col min="508" max="508" width="16.625" style="165" bestFit="1" customWidth="1"/>
    <col min="509" max="509" width="29.25" style="165" bestFit="1" customWidth="1"/>
    <col min="510" max="510" width="32.75" style="165" customWidth="1"/>
    <col min="511" max="512" width="31.5" style="165" customWidth="1"/>
    <col min="513" max="513" width="23" style="165" bestFit="1" customWidth="1"/>
    <col min="514" max="514" width="17.125" style="165" customWidth="1"/>
    <col min="515" max="762" width="8" style="165"/>
    <col min="763" max="763" width="0" style="165" hidden="1" customWidth="1"/>
    <col min="764" max="764" width="16.625" style="165" bestFit="1" customWidth="1"/>
    <col min="765" max="765" width="29.25" style="165" bestFit="1" customWidth="1"/>
    <col min="766" max="766" width="32.75" style="165" customWidth="1"/>
    <col min="767" max="768" width="31.5" style="165" customWidth="1"/>
    <col min="769" max="769" width="23" style="165" bestFit="1" customWidth="1"/>
    <col min="770" max="770" width="17.125" style="165" customWidth="1"/>
    <col min="771" max="1018" width="8" style="165"/>
    <col min="1019" max="1019" width="0" style="165" hidden="1" customWidth="1"/>
    <col min="1020" max="1020" width="16.625" style="165" bestFit="1" customWidth="1"/>
    <col min="1021" max="1021" width="29.25" style="165" bestFit="1" customWidth="1"/>
    <col min="1022" max="1022" width="32.75" style="165" customWidth="1"/>
    <col min="1023" max="1024" width="31.5" style="165" customWidth="1"/>
    <col min="1025" max="1025" width="23" style="165" bestFit="1" customWidth="1"/>
    <col min="1026" max="1026" width="17.125" style="165" customWidth="1"/>
    <col min="1027" max="1274" width="8" style="165"/>
    <col min="1275" max="1275" width="0" style="165" hidden="1" customWidth="1"/>
    <col min="1276" max="1276" width="16.625" style="165" bestFit="1" customWidth="1"/>
    <col min="1277" max="1277" width="29.25" style="165" bestFit="1" customWidth="1"/>
    <col min="1278" max="1278" width="32.75" style="165" customWidth="1"/>
    <col min="1279" max="1280" width="31.5" style="165" customWidth="1"/>
    <col min="1281" max="1281" width="23" style="165" bestFit="1" customWidth="1"/>
    <col min="1282" max="1282" width="17.125" style="165" customWidth="1"/>
    <col min="1283" max="1530" width="8" style="165"/>
    <col min="1531" max="1531" width="0" style="165" hidden="1" customWidth="1"/>
    <col min="1532" max="1532" width="16.625" style="165" bestFit="1" customWidth="1"/>
    <col min="1533" max="1533" width="29.25" style="165" bestFit="1" customWidth="1"/>
    <col min="1534" max="1534" width="32.75" style="165" customWidth="1"/>
    <col min="1535" max="1536" width="31.5" style="165" customWidth="1"/>
    <col min="1537" max="1537" width="23" style="165" bestFit="1" customWidth="1"/>
    <col min="1538" max="1538" width="17.125" style="165" customWidth="1"/>
    <col min="1539" max="1786" width="8" style="165"/>
    <col min="1787" max="1787" width="0" style="165" hidden="1" customWidth="1"/>
    <col min="1788" max="1788" width="16.625" style="165" bestFit="1" customWidth="1"/>
    <col min="1789" max="1789" width="29.25" style="165" bestFit="1" customWidth="1"/>
    <col min="1790" max="1790" width="32.75" style="165" customWidth="1"/>
    <col min="1791" max="1792" width="31.5" style="165" customWidth="1"/>
    <col min="1793" max="1793" width="23" style="165" bestFit="1" customWidth="1"/>
    <col min="1794" max="1794" width="17.125" style="165" customWidth="1"/>
    <col min="1795" max="2042" width="8" style="165"/>
    <col min="2043" max="2043" width="0" style="165" hidden="1" customWidth="1"/>
    <col min="2044" max="2044" width="16.625" style="165" bestFit="1" customWidth="1"/>
    <col min="2045" max="2045" width="29.25" style="165" bestFit="1" customWidth="1"/>
    <col min="2046" max="2046" width="32.75" style="165" customWidth="1"/>
    <col min="2047" max="2048" width="31.5" style="165" customWidth="1"/>
    <col min="2049" max="2049" width="23" style="165" bestFit="1" customWidth="1"/>
    <col min="2050" max="2050" width="17.125" style="165" customWidth="1"/>
    <col min="2051" max="2298" width="8" style="165"/>
    <col min="2299" max="2299" width="0" style="165" hidden="1" customWidth="1"/>
    <col min="2300" max="2300" width="16.625" style="165" bestFit="1" customWidth="1"/>
    <col min="2301" max="2301" width="29.25" style="165" bestFit="1" customWidth="1"/>
    <col min="2302" max="2302" width="32.75" style="165" customWidth="1"/>
    <col min="2303" max="2304" width="31.5" style="165" customWidth="1"/>
    <col min="2305" max="2305" width="23" style="165" bestFit="1" customWidth="1"/>
    <col min="2306" max="2306" width="17.125" style="165" customWidth="1"/>
    <col min="2307" max="2554" width="8" style="165"/>
    <col min="2555" max="2555" width="0" style="165" hidden="1" customWidth="1"/>
    <col min="2556" max="2556" width="16.625" style="165" bestFit="1" customWidth="1"/>
    <col min="2557" max="2557" width="29.25" style="165" bestFit="1" customWidth="1"/>
    <col min="2558" max="2558" width="32.75" style="165" customWidth="1"/>
    <col min="2559" max="2560" width="31.5" style="165" customWidth="1"/>
    <col min="2561" max="2561" width="23" style="165" bestFit="1" customWidth="1"/>
    <col min="2562" max="2562" width="17.125" style="165" customWidth="1"/>
    <col min="2563" max="2810" width="8" style="165"/>
    <col min="2811" max="2811" width="0" style="165" hidden="1" customWidth="1"/>
    <col min="2812" max="2812" width="16.625" style="165" bestFit="1" customWidth="1"/>
    <col min="2813" max="2813" width="29.25" style="165" bestFit="1" customWidth="1"/>
    <col min="2814" max="2814" width="32.75" style="165" customWidth="1"/>
    <col min="2815" max="2816" width="31.5" style="165" customWidth="1"/>
    <col min="2817" max="2817" width="23" style="165" bestFit="1" customWidth="1"/>
    <col min="2818" max="2818" width="17.125" style="165" customWidth="1"/>
    <col min="2819" max="3066" width="8" style="165"/>
    <col min="3067" max="3067" width="0" style="165" hidden="1" customWidth="1"/>
    <col min="3068" max="3068" width="16.625" style="165" bestFit="1" customWidth="1"/>
    <col min="3069" max="3069" width="29.25" style="165" bestFit="1" customWidth="1"/>
    <col min="3070" max="3070" width="32.75" style="165" customWidth="1"/>
    <col min="3071" max="3072" width="31.5" style="165" customWidth="1"/>
    <col min="3073" max="3073" width="23" style="165" bestFit="1" customWidth="1"/>
    <col min="3074" max="3074" width="17.125" style="165" customWidth="1"/>
    <col min="3075" max="3322" width="8" style="165"/>
    <col min="3323" max="3323" width="0" style="165" hidden="1" customWidth="1"/>
    <col min="3324" max="3324" width="16.625" style="165" bestFit="1" customWidth="1"/>
    <col min="3325" max="3325" width="29.25" style="165" bestFit="1" customWidth="1"/>
    <col min="3326" max="3326" width="32.75" style="165" customWidth="1"/>
    <col min="3327" max="3328" width="31.5" style="165" customWidth="1"/>
    <col min="3329" max="3329" width="23" style="165" bestFit="1" customWidth="1"/>
    <col min="3330" max="3330" width="17.125" style="165" customWidth="1"/>
    <col min="3331" max="3578" width="8" style="165"/>
    <col min="3579" max="3579" width="0" style="165" hidden="1" customWidth="1"/>
    <col min="3580" max="3580" width="16.625" style="165" bestFit="1" customWidth="1"/>
    <col min="3581" max="3581" width="29.25" style="165" bestFit="1" customWidth="1"/>
    <col min="3582" max="3582" width="32.75" style="165" customWidth="1"/>
    <col min="3583" max="3584" width="31.5" style="165" customWidth="1"/>
    <col min="3585" max="3585" width="23" style="165" bestFit="1" customWidth="1"/>
    <col min="3586" max="3586" width="17.125" style="165" customWidth="1"/>
    <col min="3587" max="3834" width="8" style="165"/>
    <col min="3835" max="3835" width="0" style="165" hidden="1" customWidth="1"/>
    <col min="3836" max="3836" width="16.625" style="165" bestFit="1" customWidth="1"/>
    <col min="3837" max="3837" width="29.25" style="165" bestFit="1" customWidth="1"/>
    <col min="3838" max="3838" width="32.75" style="165" customWidth="1"/>
    <col min="3839" max="3840" width="31.5" style="165" customWidth="1"/>
    <col min="3841" max="3841" width="23" style="165" bestFit="1" customWidth="1"/>
    <col min="3842" max="3842" width="17.125" style="165" customWidth="1"/>
    <col min="3843" max="4090" width="8" style="165"/>
    <col min="4091" max="4091" width="0" style="165" hidden="1" customWidth="1"/>
    <col min="4092" max="4092" width="16.625" style="165" bestFit="1" customWidth="1"/>
    <col min="4093" max="4093" width="29.25" style="165" bestFit="1" customWidth="1"/>
    <col min="4094" max="4094" width="32.75" style="165" customWidth="1"/>
    <col min="4095" max="4096" width="31.5" style="165" customWidth="1"/>
    <col min="4097" max="4097" width="23" style="165" bestFit="1" customWidth="1"/>
    <col min="4098" max="4098" width="17.125" style="165" customWidth="1"/>
    <col min="4099" max="4346" width="8" style="165"/>
    <col min="4347" max="4347" width="0" style="165" hidden="1" customWidth="1"/>
    <col min="4348" max="4348" width="16.625" style="165" bestFit="1" customWidth="1"/>
    <col min="4349" max="4349" width="29.25" style="165" bestFit="1" customWidth="1"/>
    <col min="4350" max="4350" width="32.75" style="165" customWidth="1"/>
    <col min="4351" max="4352" width="31.5" style="165" customWidth="1"/>
    <col min="4353" max="4353" width="23" style="165" bestFit="1" customWidth="1"/>
    <col min="4354" max="4354" width="17.125" style="165" customWidth="1"/>
    <col min="4355" max="4602" width="8" style="165"/>
    <col min="4603" max="4603" width="0" style="165" hidden="1" customWidth="1"/>
    <col min="4604" max="4604" width="16.625" style="165" bestFit="1" customWidth="1"/>
    <col min="4605" max="4605" width="29.25" style="165" bestFit="1" customWidth="1"/>
    <col min="4606" max="4606" width="32.75" style="165" customWidth="1"/>
    <col min="4607" max="4608" width="31.5" style="165" customWidth="1"/>
    <col min="4609" max="4609" width="23" style="165" bestFit="1" customWidth="1"/>
    <col min="4610" max="4610" width="17.125" style="165" customWidth="1"/>
    <col min="4611" max="4858" width="8" style="165"/>
    <col min="4859" max="4859" width="0" style="165" hidden="1" customWidth="1"/>
    <col min="4860" max="4860" width="16.625" style="165" bestFit="1" customWidth="1"/>
    <col min="4861" max="4861" width="29.25" style="165" bestFit="1" customWidth="1"/>
    <col min="4862" max="4862" width="32.75" style="165" customWidth="1"/>
    <col min="4863" max="4864" width="31.5" style="165" customWidth="1"/>
    <col min="4865" max="4865" width="23" style="165" bestFit="1" customWidth="1"/>
    <col min="4866" max="4866" width="17.125" style="165" customWidth="1"/>
    <col min="4867" max="5114" width="8" style="165"/>
    <col min="5115" max="5115" width="0" style="165" hidden="1" customWidth="1"/>
    <col min="5116" max="5116" width="16.625" style="165" bestFit="1" customWidth="1"/>
    <col min="5117" max="5117" width="29.25" style="165" bestFit="1" customWidth="1"/>
    <col min="5118" max="5118" width="32.75" style="165" customWidth="1"/>
    <col min="5119" max="5120" width="31.5" style="165" customWidth="1"/>
    <col min="5121" max="5121" width="23" style="165" bestFit="1" customWidth="1"/>
    <col min="5122" max="5122" width="17.125" style="165" customWidth="1"/>
    <col min="5123" max="5370" width="8" style="165"/>
    <col min="5371" max="5371" width="0" style="165" hidden="1" customWidth="1"/>
    <col min="5372" max="5372" width="16.625" style="165" bestFit="1" customWidth="1"/>
    <col min="5373" max="5373" width="29.25" style="165" bestFit="1" customWidth="1"/>
    <col min="5374" max="5374" width="32.75" style="165" customWidth="1"/>
    <col min="5375" max="5376" width="31.5" style="165" customWidth="1"/>
    <col min="5377" max="5377" width="23" style="165" bestFit="1" customWidth="1"/>
    <col min="5378" max="5378" width="17.125" style="165" customWidth="1"/>
    <col min="5379" max="5626" width="8" style="165"/>
    <col min="5627" max="5627" width="0" style="165" hidden="1" customWidth="1"/>
    <col min="5628" max="5628" width="16.625" style="165" bestFit="1" customWidth="1"/>
    <col min="5629" max="5629" width="29.25" style="165" bestFit="1" customWidth="1"/>
    <col min="5630" max="5630" width="32.75" style="165" customWidth="1"/>
    <col min="5631" max="5632" width="31.5" style="165" customWidth="1"/>
    <col min="5633" max="5633" width="23" style="165" bestFit="1" customWidth="1"/>
    <col min="5634" max="5634" width="17.125" style="165" customWidth="1"/>
    <col min="5635" max="5882" width="8" style="165"/>
    <col min="5883" max="5883" width="0" style="165" hidden="1" customWidth="1"/>
    <col min="5884" max="5884" width="16.625" style="165" bestFit="1" customWidth="1"/>
    <col min="5885" max="5885" width="29.25" style="165" bestFit="1" customWidth="1"/>
    <col min="5886" max="5886" width="32.75" style="165" customWidth="1"/>
    <col min="5887" max="5888" width="31.5" style="165" customWidth="1"/>
    <col min="5889" max="5889" width="23" style="165" bestFit="1" customWidth="1"/>
    <col min="5890" max="5890" width="17.125" style="165" customWidth="1"/>
    <col min="5891" max="6138" width="8" style="165"/>
    <col min="6139" max="6139" width="0" style="165" hidden="1" customWidth="1"/>
    <col min="6140" max="6140" width="16.625" style="165" bestFit="1" customWidth="1"/>
    <col min="6141" max="6141" width="29.25" style="165" bestFit="1" customWidth="1"/>
    <col min="6142" max="6142" width="32.75" style="165" customWidth="1"/>
    <col min="6143" max="6144" width="31.5" style="165" customWidth="1"/>
    <col min="6145" max="6145" width="23" style="165" bestFit="1" customWidth="1"/>
    <col min="6146" max="6146" width="17.125" style="165" customWidth="1"/>
    <col min="6147" max="6394" width="8" style="165"/>
    <col min="6395" max="6395" width="0" style="165" hidden="1" customWidth="1"/>
    <col min="6396" max="6396" width="16.625" style="165" bestFit="1" customWidth="1"/>
    <col min="6397" max="6397" width="29.25" style="165" bestFit="1" customWidth="1"/>
    <col min="6398" max="6398" width="32.75" style="165" customWidth="1"/>
    <col min="6399" max="6400" width="31.5" style="165" customWidth="1"/>
    <col min="6401" max="6401" width="23" style="165" bestFit="1" customWidth="1"/>
    <col min="6402" max="6402" width="17.125" style="165" customWidth="1"/>
    <col min="6403" max="6650" width="8" style="165"/>
    <col min="6651" max="6651" width="0" style="165" hidden="1" customWidth="1"/>
    <col min="6652" max="6652" width="16.625" style="165" bestFit="1" customWidth="1"/>
    <col min="6653" max="6653" width="29.25" style="165" bestFit="1" customWidth="1"/>
    <col min="6654" max="6654" width="32.75" style="165" customWidth="1"/>
    <col min="6655" max="6656" width="31.5" style="165" customWidth="1"/>
    <col min="6657" max="6657" width="23" style="165" bestFit="1" customWidth="1"/>
    <col min="6658" max="6658" width="17.125" style="165" customWidth="1"/>
    <col min="6659" max="6906" width="8" style="165"/>
    <col min="6907" max="6907" width="0" style="165" hidden="1" customWidth="1"/>
    <col min="6908" max="6908" width="16.625" style="165" bestFit="1" customWidth="1"/>
    <col min="6909" max="6909" width="29.25" style="165" bestFit="1" customWidth="1"/>
    <col min="6910" max="6910" width="32.75" style="165" customWidth="1"/>
    <col min="6911" max="6912" width="31.5" style="165" customWidth="1"/>
    <col min="6913" max="6913" width="23" style="165" bestFit="1" customWidth="1"/>
    <col min="6914" max="6914" width="17.125" style="165" customWidth="1"/>
    <col min="6915" max="7162" width="8" style="165"/>
    <col min="7163" max="7163" width="0" style="165" hidden="1" customWidth="1"/>
    <col min="7164" max="7164" width="16.625" style="165" bestFit="1" customWidth="1"/>
    <col min="7165" max="7165" width="29.25" style="165" bestFit="1" customWidth="1"/>
    <col min="7166" max="7166" width="32.75" style="165" customWidth="1"/>
    <col min="7167" max="7168" width="31.5" style="165" customWidth="1"/>
    <col min="7169" max="7169" width="23" style="165" bestFit="1" customWidth="1"/>
    <col min="7170" max="7170" width="17.125" style="165" customWidth="1"/>
    <col min="7171" max="7418" width="8" style="165"/>
    <col min="7419" max="7419" width="0" style="165" hidden="1" customWidth="1"/>
    <col min="7420" max="7420" width="16.625" style="165" bestFit="1" customWidth="1"/>
    <col min="7421" max="7421" width="29.25" style="165" bestFit="1" customWidth="1"/>
    <col min="7422" max="7422" width="32.75" style="165" customWidth="1"/>
    <col min="7423" max="7424" width="31.5" style="165" customWidth="1"/>
    <col min="7425" max="7425" width="23" style="165" bestFit="1" customWidth="1"/>
    <col min="7426" max="7426" width="17.125" style="165" customWidth="1"/>
    <col min="7427" max="7674" width="8" style="165"/>
    <col min="7675" max="7675" width="0" style="165" hidden="1" customWidth="1"/>
    <col min="7676" max="7676" width="16.625" style="165" bestFit="1" customWidth="1"/>
    <col min="7677" max="7677" width="29.25" style="165" bestFit="1" customWidth="1"/>
    <col min="7678" max="7678" width="32.75" style="165" customWidth="1"/>
    <col min="7679" max="7680" width="31.5" style="165" customWidth="1"/>
    <col min="7681" max="7681" width="23" style="165" bestFit="1" customWidth="1"/>
    <col min="7682" max="7682" width="17.125" style="165" customWidth="1"/>
    <col min="7683" max="7930" width="8" style="165"/>
    <col min="7931" max="7931" width="0" style="165" hidden="1" customWidth="1"/>
    <col min="7932" max="7932" width="16.625" style="165" bestFit="1" customWidth="1"/>
    <col min="7933" max="7933" width="29.25" style="165" bestFit="1" customWidth="1"/>
    <col min="7934" max="7934" width="32.75" style="165" customWidth="1"/>
    <col min="7935" max="7936" width="31.5" style="165" customWidth="1"/>
    <col min="7937" max="7937" width="23" style="165" bestFit="1" customWidth="1"/>
    <col min="7938" max="7938" width="17.125" style="165" customWidth="1"/>
    <col min="7939" max="8186" width="8" style="165"/>
    <col min="8187" max="8187" width="0" style="165" hidden="1" customWidth="1"/>
    <col min="8188" max="8188" width="16.625" style="165" bestFit="1" customWidth="1"/>
    <col min="8189" max="8189" width="29.25" style="165" bestFit="1" customWidth="1"/>
    <col min="8190" max="8190" width="32.75" style="165" customWidth="1"/>
    <col min="8191" max="8192" width="31.5" style="165" customWidth="1"/>
    <col min="8193" max="8193" width="23" style="165" bestFit="1" customWidth="1"/>
    <col min="8194" max="8194" width="17.125" style="165" customWidth="1"/>
    <col min="8195" max="8442" width="8" style="165"/>
    <col min="8443" max="8443" width="0" style="165" hidden="1" customWidth="1"/>
    <col min="8444" max="8444" width="16.625" style="165" bestFit="1" customWidth="1"/>
    <col min="8445" max="8445" width="29.25" style="165" bestFit="1" customWidth="1"/>
    <col min="8446" max="8446" width="32.75" style="165" customWidth="1"/>
    <col min="8447" max="8448" width="31.5" style="165" customWidth="1"/>
    <col min="8449" max="8449" width="23" style="165" bestFit="1" customWidth="1"/>
    <col min="8450" max="8450" width="17.125" style="165" customWidth="1"/>
    <col min="8451" max="8698" width="8" style="165"/>
    <col min="8699" max="8699" width="0" style="165" hidden="1" customWidth="1"/>
    <col min="8700" max="8700" width="16.625" style="165" bestFit="1" customWidth="1"/>
    <col min="8701" max="8701" width="29.25" style="165" bestFit="1" customWidth="1"/>
    <col min="8702" max="8702" width="32.75" style="165" customWidth="1"/>
    <col min="8703" max="8704" width="31.5" style="165" customWidth="1"/>
    <col min="8705" max="8705" width="23" style="165" bestFit="1" customWidth="1"/>
    <col min="8706" max="8706" width="17.125" style="165" customWidth="1"/>
    <col min="8707" max="8954" width="8" style="165"/>
    <col min="8955" max="8955" width="0" style="165" hidden="1" customWidth="1"/>
    <col min="8956" max="8956" width="16.625" style="165" bestFit="1" customWidth="1"/>
    <col min="8957" max="8957" width="29.25" style="165" bestFit="1" customWidth="1"/>
    <col min="8958" max="8958" width="32.75" style="165" customWidth="1"/>
    <col min="8959" max="8960" width="31.5" style="165" customWidth="1"/>
    <col min="8961" max="8961" width="23" style="165" bestFit="1" customWidth="1"/>
    <col min="8962" max="8962" width="17.125" style="165" customWidth="1"/>
    <col min="8963" max="9210" width="8" style="165"/>
    <col min="9211" max="9211" width="0" style="165" hidden="1" customWidth="1"/>
    <col min="9212" max="9212" width="16.625" style="165" bestFit="1" customWidth="1"/>
    <col min="9213" max="9213" width="29.25" style="165" bestFit="1" customWidth="1"/>
    <col min="9214" max="9214" width="32.75" style="165" customWidth="1"/>
    <col min="9215" max="9216" width="31.5" style="165" customWidth="1"/>
    <col min="9217" max="9217" width="23" style="165" bestFit="1" customWidth="1"/>
    <col min="9218" max="9218" width="17.125" style="165" customWidth="1"/>
    <col min="9219" max="9466" width="8" style="165"/>
    <col min="9467" max="9467" width="0" style="165" hidden="1" customWidth="1"/>
    <col min="9468" max="9468" width="16.625" style="165" bestFit="1" customWidth="1"/>
    <col min="9469" max="9469" width="29.25" style="165" bestFit="1" customWidth="1"/>
    <col min="9470" max="9470" width="32.75" style="165" customWidth="1"/>
    <col min="9471" max="9472" width="31.5" style="165" customWidth="1"/>
    <col min="9473" max="9473" width="23" style="165" bestFit="1" customWidth="1"/>
    <col min="9474" max="9474" width="17.125" style="165" customWidth="1"/>
    <col min="9475" max="9722" width="8" style="165"/>
    <col min="9723" max="9723" width="0" style="165" hidden="1" customWidth="1"/>
    <col min="9724" max="9724" width="16.625" style="165" bestFit="1" customWidth="1"/>
    <col min="9725" max="9725" width="29.25" style="165" bestFit="1" customWidth="1"/>
    <col min="9726" max="9726" width="32.75" style="165" customWidth="1"/>
    <col min="9727" max="9728" width="31.5" style="165" customWidth="1"/>
    <col min="9729" max="9729" width="23" style="165" bestFit="1" customWidth="1"/>
    <col min="9730" max="9730" width="17.125" style="165" customWidth="1"/>
    <col min="9731" max="9978" width="8" style="165"/>
    <col min="9979" max="9979" width="0" style="165" hidden="1" customWidth="1"/>
    <col min="9980" max="9980" width="16.625" style="165" bestFit="1" customWidth="1"/>
    <col min="9981" max="9981" width="29.25" style="165" bestFit="1" customWidth="1"/>
    <col min="9982" max="9982" width="32.75" style="165" customWidth="1"/>
    <col min="9983" max="9984" width="31.5" style="165" customWidth="1"/>
    <col min="9985" max="9985" width="23" style="165" bestFit="1" customWidth="1"/>
    <col min="9986" max="9986" width="17.125" style="165" customWidth="1"/>
    <col min="9987" max="10234" width="8" style="165"/>
    <col min="10235" max="10235" width="0" style="165" hidden="1" customWidth="1"/>
    <col min="10236" max="10236" width="16.625" style="165" bestFit="1" customWidth="1"/>
    <col min="10237" max="10237" width="29.25" style="165" bestFit="1" customWidth="1"/>
    <col min="10238" max="10238" width="32.75" style="165" customWidth="1"/>
    <col min="10239" max="10240" width="31.5" style="165" customWidth="1"/>
    <col min="10241" max="10241" width="23" style="165" bestFit="1" customWidth="1"/>
    <col min="10242" max="10242" width="17.125" style="165" customWidth="1"/>
    <col min="10243" max="10490" width="8" style="165"/>
    <col min="10491" max="10491" width="0" style="165" hidden="1" customWidth="1"/>
    <col min="10492" max="10492" width="16.625" style="165" bestFit="1" customWidth="1"/>
    <col min="10493" max="10493" width="29.25" style="165" bestFit="1" customWidth="1"/>
    <col min="10494" max="10494" width="32.75" style="165" customWidth="1"/>
    <col min="10495" max="10496" width="31.5" style="165" customWidth="1"/>
    <col min="10497" max="10497" width="23" style="165" bestFit="1" customWidth="1"/>
    <col min="10498" max="10498" width="17.125" style="165" customWidth="1"/>
    <col min="10499" max="10746" width="8" style="165"/>
    <col min="10747" max="10747" width="0" style="165" hidden="1" customWidth="1"/>
    <col min="10748" max="10748" width="16.625" style="165" bestFit="1" customWidth="1"/>
    <col min="10749" max="10749" width="29.25" style="165" bestFit="1" customWidth="1"/>
    <col min="10750" max="10750" width="32.75" style="165" customWidth="1"/>
    <col min="10751" max="10752" width="31.5" style="165" customWidth="1"/>
    <col min="10753" max="10753" width="23" style="165" bestFit="1" customWidth="1"/>
    <col min="10754" max="10754" width="17.125" style="165" customWidth="1"/>
    <col min="10755" max="11002" width="8" style="165"/>
    <col min="11003" max="11003" width="0" style="165" hidden="1" customWidth="1"/>
    <col min="11004" max="11004" width="16.625" style="165" bestFit="1" customWidth="1"/>
    <col min="11005" max="11005" width="29.25" style="165" bestFit="1" customWidth="1"/>
    <col min="11006" max="11006" width="32.75" style="165" customWidth="1"/>
    <col min="11007" max="11008" width="31.5" style="165" customWidth="1"/>
    <col min="11009" max="11009" width="23" style="165" bestFit="1" customWidth="1"/>
    <col min="11010" max="11010" width="17.125" style="165" customWidth="1"/>
    <col min="11011" max="11258" width="8" style="165"/>
    <col min="11259" max="11259" width="0" style="165" hidden="1" customWidth="1"/>
    <col min="11260" max="11260" width="16.625" style="165" bestFit="1" customWidth="1"/>
    <col min="11261" max="11261" width="29.25" style="165" bestFit="1" customWidth="1"/>
    <col min="11262" max="11262" width="32.75" style="165" customWidth="1"/>
    <col min="11263" max="11264" width="31.5" style="165" customWidth="1"/>
    <col min="11265" max="11265" width="23" style="165" bestFit="1" customWidth="1"/>
    <col min="11266" max="11266" width="17.125" style="165" customWidth="1"/>
    <col min="11267" max="11514" width="8" style="165"/>
    <col min="11515" max="11515" width="0" style="165" hidden="1" customWidth="1"/>
    <col min="11516" max="11516" width="16.625" style="165" bestFit="1" customWidth="1"/>
    <col min="11517" max="11517" width="29.25" style="165" bestFit="1" customWidth="1"/>
    <col min="11518" max="11518" width="32.75" style="165" customWidth="1"/>
    <col min="11519" max="11520" width="31.5" style="165" customWidth="1"/>
    <col min="11521" max="11521" width="23" style="165" bestFit="1" customWidth="1"/>
    <col min="11522" max="11522" width="17.125" style="165" customWidth="1"/>
    <col min="11523" max="11770" width="8" style="165"/>
    <col min="11771" max="11771" width="0" style="165" hidden="1" customWidth="1"/>
    <col min="11772" max="11772" width="16.625" style="165" bestFit="1" customWidth="1"/>
    <col min="11773" max="11773" width="29.25" style="165" bestFit="1" customWidth="1"/>
    <col min="11774" max="11774" width="32.75" style="165" customWidth="1"/>
    <col min="11775" max="11776" width="31.5" style="165" customWidth="1"/>
    <col min="11777" max="11777" width="23" style="165" bestFit="1" customWidth="1"/>
    <col min="11778" max="11778" width="17.125" style="165" customWidth="1"/>
    <col min="11779" max="12026" width="8" style="165"/>
    <col min="12027" max="12027" width="0" style="165" hidden="1" customWidth="1"/>
    <col min="12028" max="12028" width="16.625" style="165" bestFit="1" customWidth="1"/>
    <col min="12029" max="12029" width="29.25" style="165" bestFit="1" customWidth="1"/>
    <col min="12030" max="12030" width="32.75" style="165" customWidth="1"/>
    <col min="12031" max="12032" width="31.5" style="165" customWidth="1"/>
    <col min="12033" max="12033" width="23" style="165" bestFit="1" customWidth="1"/>
    <col min="12034" max="12034" width="17.125" style="165" customWidth="1"/>
    <col min="12035" max="12282" width="8" style="165"/>
    <col min="12283" max="12283" width="0" style="165" hidden="1" customWidth="1"/>
    <col min="12284" max="12284" width="16.625" style="165" bestFit="1" customWidth="1"/>
    <col min="12285" max="12285" width="29.25" style="165" bestFit="1" customWidth="1"/>
    <col min="12286" max="12286" width="32.75" style="165" customWidth="1"/>
    <col min="12287" max="12288" width="31.5" style="165" customWidth="1"/>
    <col min="12289" max="12289" width="23" style="165" bestFit="1" customWidth="1"/>
    <col min="12290" max="12290" width="17.125" style="165" customWidth="1"/>
    <col min="12291" max="12538" width="8" style="165"/>
    <col min="12539" max="12539" width="0" style="165" hidden="1" customWidth="1"/>
    <col min="12540" max="12540" width="16.625" style="165" bestFit="1" customWidth="1"/>
    <col min="12541" max="12541" width="29.25" style="165" bestFit="1" customWidth="1"/>
    <col min="12542" max="12542" width="32.75" style="165" customWidth="1"/>
    <col min="12543" max="12544" width="31.5" style="165" customWidth="1"/>
    <col min="12545" max="12545" width="23" style="165" bestFit="1" customWidth="1"/>
    <col min="12546" max="12546" width="17.125" style="165" customWidth="1"/>
    <col min="12547" max="12794" width="8" style="165"/>
    <col min="12795" max="12795" width="0" style="165" hidden="1" customWidth="1"/>
    <col min="12796" max="12796" width="16.625" style="165" bestFit="1" customWidth="1"/>
    <col min="12797" max="12797" width="29.25" style="165" bestFit="1" customWidth="1"/>
    <col min="12798" max="12798" width="32.75" style="165" customWidth="1"/>
    <col min="12799" max="12800" width="31.5" style="165" customWidth="1"/>
    <col min="12801" max="12801" width="23" style="165" bestFit="1" customWidth="1"/>
    <col min="12802" max="12802" width="17.125" style="165" customWidth="1"/>
    <col min="12803" max="13050" width="8" style="165"/>
    <col min="13051" max="13051" width="0" style="165" hidden="1" customWidth="1"/>
    <col min="13052" max="13052" width="16.625" style="165" bestFit="1" customWidth="1"/>
    <col min="13053" max="13053" width="29.25" style="165" bestFit="1" customWidth="1"/>
    <col min="13054" max="13054" width="32.75" style="165" customWidth="1"/>
    <col min="13055" max="13056" width="31.5" style="165" customWidth="1"/>
    <col min="13057" max="13057" width="23" style="165" bestFit="1" customWidth="1"/>
    <col min="13058" max="13058" width="17.125" style="165" customWidth="1"/>
    <col min="13059" max="13306" width="8" style="165"/>
    <col min="13307" max="13307" width="0" style="165" hidden="1" customWidth="1"/>
    <col min="13308" max="13308" width="16.625" style="165" bestFit="1" customWidth="1"/>
    <col min="13309" max="13309" width="29.25" style="165" bestFit="1" customWidth="1"/>
    <col min="13310" max="13310" width="32.75" style="165" customWidth="1"/>
    <col min="13311" max="13312" width="31.5" style="165" customWidth="1"/>
    <col min="13313" max="13313" width="23" style="165" bestFit="1" customWidth="1"/>
    <col min="13314" max="13314" width="17.125" style="165" customWidth="1"/>
    <col min="13315" max="13562" width="8" style="165"/>
    <col min="13563" max="13563" width="0" style="165" hidden="1" customWidth="1"/>
    <col min="13564" max="13564" width="16.625" style="165" bestFit="1" customWidth="1"/>
    <col min="13565" max="13565" width="29.25" style="165" bestFit="1" customWidth="1"/>
    <col min="13566" max="13566" width="32.75" style="165" customWidth="1"/>
    <col min="13567" max="13568" width="31.5" style="165" customWidth="1"/>
    <col min="13569" max="13569" width="23" style="165" bestFit="1" customWidth="1"/>
    <col min="13570" max="13570" width="17.125" style="165" customWidth="1"/>
    <col min="13571" max="13818" width="8" style="165"/>
    <col min="13819" max="13819" width="0" style="165" hidden="1" customWidth="1"/>
    <col min="13820" max="13820" width="16.625" style="165" bestFit="1" customWidth="1"/>
    <col min="13821" max="13821" width="29.25" style="165" bestFit="1" customWidth="1"/>
    <col min="13822" max="13822" width="32.75" style="165" customWidth="1"/>
    <col min="13823" max="13824" width="31.5" style="165" customWidth="1"/>
    <col min="13825" max="13825" width="23" style="165" bestFit="1" customWidth="1"/>
    <col min="13826" max="13826" width="17.125" style="165" customWidth="1"/>
    <col min="13827" max="14074" width="8" style="165"/>
    <col min="14075" max="14075" width="0" style="165" hidden="1" customWidth="1"/>
    <col min="14076" max="14076" width="16.625" style="165" bestFit="1" customWidth="1"/>
    <col min="14077" max="14077" width="29.25" style="165" bestFit="1" customWidth="1"/>
    <col min="14078" max="14078" width="32.75" style="165" customWidth="1"/>
    <col min="14079" max="14080" width="31.5" style="165" customWidth="1"/>
    <col min="14081" max="14081" width="23" style="165" bestFit="1" customWidth="1"/>
    <col min="14082" max="14082" width="17.125" style="165" customWidth="1"/>
    <col min="14083" max="14330" width="8" style="165"/>
    <col min="14331" max="14331" width="0" style="165" hidden="1" customWidth="1"/>
    <col min="14332" max="14332" width="16.625" style="165" bestFit="1" customWidth="1"/>
    <col min="14333" max="14333" width="29.25" style="165" bestFit="1" customWidth="1"/>
    <col min="14334" max="14334" width="32.75" style="165" customWidth="1"/>
    <col min="14335" max="14336" width="31.5" style="165" customWidth="1"/>
    <col min="14337" max="14337" width="23" style="165" bestFit="1" customWidth="1"/>
    <col min="14338" max="14338" width="17.125" style="165" customWidth="1"/>
    <col min="14339" max="14586" width="8" style="165"/>
    <col min="14587" max="14587" width="0" style="165" hidden="1" customWidth="1"/>
    <col min="14588" max="14588" width="16.625" style="165" bestFit="1" customWidth="1"/>
    <col min="14589" max="14589" width="29.25" style="165" bestFit="1" customWidth="1"/>
    <col min="14590" max="14590" width="32.75" style="165" customWidth="1"/>
    <col min="14591" max="14592" width="31.5" style="165" customWidth="1"/>
    <col min="14593" max="14593" width="23" style="165" bestFit="1" customWidth="1"/>
    <col min="14594" max="14594" width="17.125" style="165" customWidth="1"/>
    <col min="14595" max="14842" width="8" style="165"/>
    <col min="14843" max="14843" width="0" style="165" hidden="1" customWidth="1"/>
    <col min="14844" max="14844" width="16.625" style="165" bestFit="1" customWidth="1"/>
    <col min="14845" max="14845" width="29.25" style="165" bestFit="1" customWidth="1"/>
    <col min="14846" max="14846" width="32.75" style="165" customWidth="1"/>
    <col min="14847" max="14848" width="31.5" style="165" customWidth="1"/>
    <col min="14849" max="14849" width="23" style="165" bestFit="1" customWidth="1"/>
    <col min="14850" max="14850" width="17.125" style="165" customWidth="1"/>
    <col min="14851" max="15098" width="8" style="165"/>
    <col min="15099" max="15099" width="0" style="165" hidden="1" customWidth="1"/>
    <col min="15100" max="15100" width="16.625" style="165" bestFit="1" customWidth="1"/>
    <col min="15101" max="15101" width="29.25" style="165" bestFit="1" customWidth="1"/>
    <col min="15102" max="15102" width="32.75" style="165" customWidth="1"/>
    <col min="15103" max="15104" width="31.5" style="165" customWidth="1"/>
    <col min="15105" max="15105" width="23" style="165" bestFit="1" customWidth="1"/>
    <col min="15106" max="15106" width="17.125" style="165" customWidth="1"/>
    <col min="15107" max="15354" width="8" style="165"/>
    <col min="15355" max="15355" width="0" style="165" hidden="1" customWidth="1"/>
    <col min="15356" max="15356" width="16.625" style="165" bestFit="1" customWidth="1"/>
    <col min="15357" max="15357" width="29.25" style="165" bestFit="1" customWidth="1"/>
    <col min="15358" max="15358" width="32.75" style="165" customWidth="1"/>
    <col min="15359" max="15360" width="31.5" style="165" customWidth="1"/>
    <col min="15361" max="15361" width="23" style="165" bestFit="1" customWidth="1"/>
    <col min="15362" max="15362" width="17.125" style="165" customWidth="1"/>
    <col min="15363" max="15610" width="8" style="165"/>
    <col min="15611" max="15611" width="0" style="165" hidden="1" customWidth="1"/>
    <col min="15612" max="15612" width="16.625" style="165" bestFit="1" customWidth="1"/>
    <col min="15613" max="15613" width="29.25" style="165" bestFit="1" customWidth="1"/>
    <col min="15614" max="15614" width="32.75" style="165" customWidth="1"/>
    <col min="15615" max="15616" width="31.5" style="165" customWidth="1"/>
    <col min="15617" max="15617" width="23" style="165" bestFit="1" customWidth="1"/>
    <col min="15618" max="15618" width="17.125" style="165" customWidth="1"/>
    <col min="15619" max="15866" width="8" style="165"/>
    <col min="15867" max="15867" width="0" style="165" hidden="1" customWidth="1"/>
    <col min="15868" max="15868" width="16.625" style="165" bestFit="1" customWidth="1"/>
    <col min="15869" max="15869" width="29.25" style="165" bestFit="1" customWidth="1"/>
    <col min="15870" max="15870" width="32.75" style="165" customWidth="1"/>
    <col min="15871" max="15872" width="31.5" style="165" customWidth="1"/>
    <col min="15873" max="15873" width="23" style="165" bestFit="1" customWidth="1"/>
    <col min="15874" max="15874" width="17.125" style="165" customWidth="1"/>
    <col min="15875" max="16122" width="8" style="165"/>
    <col min="16123" max="16123" width="0" style="165" hidden="1" customWidth="1"/>
    <col min="16124" max="16124" width="16.625" style="165" bestFit="1" customWidth="1"/>
    <col min="16125" max="16125" width="29.25" style="165" bestFit="1" customWidth="1"/>
    <col min="16126" max="16126" width="32.75" style="165" customWidth="1"/>
    <col min="16127" max="16128" width="31.5" style="165" customWidth="1"/>
    <col min="16129" max="16129" width="23" style="165" bestFit="1" customWidth="1"/>
    <col min="16130" max="16130" width="17.125" style="165" customWidth="1"/>
    <col min="16131" max="16384" width="8" style="165"/>
  </cols>
  <sheetData>
    <row r="1" spans="1:250" s="181" customFormat="1" ht="20.100000000000001" customHeight="1">
      <c r="A1" s="177" t="s">
        <v>594</v>
      </c>
      <c r="B1" s="177"/>
      <c r="C1" s="177"/>
      <c r="D1" s="177"/>
      <c r="E1" s="177"/>
      <c r="F1" s="177"/>
    </row>
    <row r="2" spans="1:250" s="182" customFormat="1" ht="35.1" customHeight="1">
      <c r="A2" s="322" t="s">
        <v>600</v>
      </c>
      <c r="B2" s="322"/>
      <c r="C2" s="322"/>
      <c r="D2" s="322"/>
      <c r="E2" s="322"/>
      <c r="F2" s="322"/>
    </row>
    <row r="3" spans="1:250" s="183" customFormat="1" ht="20.100000000000001" customHeight="1">
      <c r="A3" s="173"/>
      <c r="B3" s="174"/>
      <c r="C3" s="174"/>
      <c r="D3" s="174"/>
      <c r="E3" s="175"/>
      <c r="F3" s="176" t="s">
        <v>487</v>
      </c>
    </row>
    <row r="4" spans="1:250" s="184" customFormat="1" ht="35.1" customHeight="1">
      <c r="A4" s="168" t="s">
        <v>488</v>
      </c>
      <c r="B4" s="168" t="s">
        <v>535</v>
      </c>
      <c r="C4" s="168" t="s">
        <v>489</v>
      </c>
      <c r="D4" s="168" t="s">
        <v>537</v>
      </c>
      <c r="E4" s="168" t="s">
        <v>491</v>
      </c>
      <c r="F4" s="168" t="s">
        <v>569</v>
      </c>
      <c r="G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row>
    <row r="5" spans="1:250" s="185" customFormat="1" ht="20.100000000000001" customHeight="1">
      <c r="A5" s="171" t="s">
        <v>570</v>
      </c>
      <c r="B5" s="170">
        <v>902974763.77999997</v>
      </c>
      <c r="C5" s="170">
        <v>-192784772.19</v>
      </c>
      <c r="D5" s="170">
        <v>710189991.58999991</v>
      </c>
      <c r="E5" s="170">
        <v>710189991.58999991</v>
      </c>
      <c r="F5" s="178">
        <v>1</v>
      </c>
    </row>
    <row r="6" spans="1:250" s="185" customFormat="1" ht="20.100000000000001" customHeight="1">
      <c r="A6" s="171" t="s">
        <v>493</v>
      </c>
      <c r="B6" s="170">
        <v>813042228.58999991</v>
      </c>
      <c r="C6" s="170">
        <v>3490000</v>
      </c>
      <c r="D6" s="170">
        <v>816532228.58999991</v>
      </c>
      <c r="E6" s="170">
        <v>1413930818.6199999</v>
      </c>
      <c r="F6" s="178">
        <v>1.7316289169156212</v>
      </c>
    </row>
    <row r="7" spans="1:250" s="186" customFormat="1" ht="20.100000000000001" customHeight="1">
      <c r="A7" s="179" t="s">
        <v>494</v>
      </c>
      <c r="B7" s="166">
        <v>418221462.42999995</v>
      </c>
      <c r="C7" s="166">
        <v>0</v>
      </c>
      <c r="D7" s="166">
        <v>418221462.42999995</v>
      </c>
      <c r="E7" s="166">
        <v>901046421.99000001</v>
      </c>
      <c r="F7" s="180">
        <v>2.1544719794020928</v>
      </c>
    </row>
    <row r="8" spans="1:250" s="186" customFormat="1" ht="20.100000000000001" customHeight="1">
      <c r="A8" s="179" t="s">
        <v>495</v>
      </c>
      <c r="B8" s="166">
        <v>384589673.51999998</v>
      </c>
      <c r="C8" s="166">
        <v>0</v>
      </c>
      <c r="D8" s="166">
        <v>384589673.51999998</v>
      </c>
      <c r="E8" s="166">
        <v>336346531</v>
      </c>
      <c r="F8" s="180">
        <v>0.87455944389133167</v>
      </c>
    </row>
    <row r="9" spans="1:250" s="186" customFormat="1" ht="20.100000000000001" customHeight="1">
      <c r="A9" s="179" t="s">
        <v>496</v>
      </c>
      <c r="B9" s="166">
        <v>7857317.75</v>
      </c>
      <c r="C9" s="166">
        <v>0</v>
      </c>
      <c r="D9" s="166">
        <v>7857317.75</v>
      </c>
      <c r="E9" s="166">
        <v>7552231.8600000003</v>
      </c>
      <c r="F9" s="180">
        <v>0.96117175100879693</v>
      </c>
    </row>
    <row r="10" spans="1:250" s="186" customFormat="1" ht="20.100000000000001" customHeight="1">
      <c r="A10" s="179" t="s">
        <v>497</v>
      </c>
      <c r="B10" s="166">
        <v>1249300</v>
      </c>
      <c r="C10" s="166">
        <v>0</v>
      </c>
      <c r="D10" s="166">
        <v>1249300</v>
      </c>
      <c r="E10" s="166">
        <v>4078423.35</v>
      </c>
      <c r="F10" s="180">
        <v>3.2645668374289603</v>
      </c>
    </row>
    <row r="11" spans="1:250" s="186" customFormat="1" ht="20.100000000000001" customHeight="1">
      <c r="A11" s="179" t="s">
        <v>498</v>
      </c>
      <c r="B11" s="166">
        <v>54248.53</v>
      </c>
      <c r="C11" s="166">
        <v>0</v>
      </c>
      <c r="D11" s="166">
        <v>54248.53</v>
      </c>
      <c r="E11" s="166">
        <v>2468340.42</v>
      </c>
      <c r="F11" s="180">
        <v>45.500595500007094</v>
      </c>
    </row>
    <row r="12" spans="1:250" s="186" customFormat="1" ht="20.100000000000001" customHeight="1">
      <c r="A12" s="179" t="s">
        <v>499</v>
      </c>
      <c r="B12" s="166">
        <v>0</v>
      </c>
      <c r="C12" s="166">
        <v>0</v>
      </c>
      <c r="D12" s="166">
        <v>0</v>
      </c>
      <c r="E12" s="166">
        <v>860825</v>
      </c>
      <c r="F12" s="180"/>
    </row>
    <row r="13" spans="1:250" s="186" customFormat="1" ht="20.100000000000001" customHeight="1">
      <c r="A13" s="179" t="s">
        <v>500</v>
      </c>
      <c r="B13" s="166">
        <v>1070226.3600000001</v>
      </c>
      <c r="C13" s="166"/>
      <c r="D13" s="166">
        <v>1070226.3600000001</v>
      </c>
      <c r="E13" s="166">
        <v>28045</v>
      </c>
      <c r="F13" s="180">
        <v>2.6204736725041977E-2</v>
      </c>
    </row>
    <row r="14" spans="1:250" s="186" customFormat="1" ht="20.100000000000001" customHeight="1">
      <c r="A14" s="179" t="s">
        <v>501</v>
      </c>
      <c r="B14" s="166">
        <v>0</v>
      </c>
      <c r="C14" s="166">
        <v>3490000</v>
      </c>
      <c r="D14" s="166">
        <v>3490000</v>
      </c>
      <c r="E14" s="166">
        <v>161550000</v>
      </c>
      <c r="F14" s="180">
        <v>46.289398280802295</v>
      </c>
    </row>
    <row r="15" spans="1:250" s="186" customFormat="1" ht="20.100000000000001" customHeight="1">
      <c r="A15" s="179" t="s">
        <v>502</v>
      </c>
      <c r="B15" s="166">
        <v>0</v>
      </c>
      <c r="C15" s="166">
        <v>0</v>
      </c>
      <c r="D15" s="166">
        <v>0</v>
      </c>
      <c r="E15" s="166"/>
      <c r="F15" s="180"/>
    </row>
    <row r="16" spans="1:250" s="185" customFormat="1" ht="20.100000000000001" customHeight="1">
      <c r="A16" s="171" t="s">
        <v>503</v>
      </c>
      <c r="B16" s="170">
        <v>686665016.38999999</v>
      </c>
      <c r="C16" s="170">
        <v>3461617.6499999799</v>
      </c>
      <c r="D16" s="170">
        <v>690126634.03999996</v>
      </c>
      <c r="E16" s="170">
        <v>1666598385.0799999</v>
      </c>
      <c r="F16" s="178">
        <v>2.4149167745109854</v>
      </c>
    </row>
    <row r="17" spans="1:6" s="186" customFormat="1" ht="20.100000000000001" customHeight="1">
      <c r="A17" s="179" t="s">
        <v>504</v>
      </c>
      <c r="B17" s="166">
        <v>686597533.12</v>
      </c>
      <c r="C17" s="166"/>
      <c r="D17" s="166">
        <v>686597533.12</v>
      </c>
      <c r="E17" s="166">
        <v>1311785426.1400001</v>
      </c>
      <c r="F17" s="180">
        <v>1.9105594804266985</v>
      </c>
    </row>
    <row r="18" spans="1:6" s="186" customFormat="1" ht="20.100000000000001" customHeight="1">
      <c r="A18" s="179" t="s">
        <v>505</v>
      </c>
      <c r="B18" s="166">
        <v>67483.27</v>
      </c>
      <c r="C18" s="166"/>
      <c r="D18" s="166">
        <v>67483.27</v>
      </c>
      <c r="E18" s="166">
        <v>672284.83000000007</v>
      </c>
      <c r="F18" s="180">
        <v>9.9622444199873552</v>
      </c>
    </row>
    <row r="19" spans="1:6" s="186" customFormat="1" ht="20.100000000000001" customHeight="1">
      <c r="A19" s="179" t="s">
        <v>506</v>
      </c>
      <c r="B19" s="166">
        <v>0</v>
      </c>
      <c r="C19" s="166"/>
      <c r="D19" s="166">
        <v>0</v>
      </c>
      <c r="E19" s="166">
        <v>1360</v>
      </c>
      <c r="F19" s="180"/>
    </row>
    <row r="20" spans="1:6" s="186" customFormat="1" ht="20.100000000000001" customHeight="1">
      <c r="A20" s="179" t="s">
        <v>507</v>
      </c>
      <c r="B20" s="166">
        <v>0</v>
      </c>
      <c r="C20" s="166">
        <v>3461617.65</v>
      </c>
      <c r="D20" s="166">
        <v>3461617.65</v>
      </c>
      <c r="E20" s="166">
        <v>354139314.10999995</v>
      </c>
      <c r="F20" s="180">
        <v>102.30457257750577</v>
      </c>
    </row>
    <row r="21" spans="1:6" s="185" customFormat="1" ht="20.100000000000001" customHeight="1">
      <c r="A21" s="171" t="s">
        <v>508</v>
      </c>
      <c r="B21" s="170">
        <v>126377212.19999999</v>
      </c>
      <c r="C21" s="170">
        <v>28382.3500000001</v>
      </c>
      <c r="D21" s="170">
        <v>126405594.54999998</v>
      </c>
      <c r="E21" s="170">
        <v>-252667566.45999992</v>
      </c>
      <c r="F21" s="178">
        <v>-1.998863795225905</v>
      </c>
    </row>
    <row r="22" spans="1:6" s="185" customFormat="1" ht="20.100000000000001" customHeight="1">
      <c r="A22" s="171" t="s">
        <v>571</v>
      </c>
      <c r="B22" s="170">
        <v>1029351975.98</v>
      </c>
      <c r="C22" s="170">
        <v>-192756389.83999997</v>
      </c>
      <c r="D22" s="170">
        <v>836595586.1400001</v>
      </c>
      <c r="E22" s="170">
        <v>457522425.13000005</v>
      </c>
      <c r="F22" s="172"/>
    </row>
    <row r="23" spans="1:6" s="186" customFormat="1" ht="75.75" customHeight="1">
      <c r="A23" s="319" t="s">
        <v>568</v>
      </c>
      <c r="B23" s="320"/>
      <c r="C23" s="320"/>
      <c r="D23" s="320"/>
      <c r="E23" s="320"/>
      <c r="F23" s="321"/>
    </row>
  </sheetData>
  <mergeCells count="2">
    <mergeCell ref="A23:F23"/>
    <mergeCell ref="A2:F2"/>
  </mergeCells>
  <phoneticPr fontId="5" type="noConversion"/>
  <printOptions horizontalCentered="1"/>
  <pageMargins left="0.59055118110236227" right="0.59055118110236227" top="0.47244094488188981" bottom="0.47244094488188981" header="0.31496062992125984" footer="0.31496062992125984"/>
  <pageSetup paperSize="9" scale="92" fitToHeight="0"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31"/>
  <sheetViews>
    <sheetView workbookViewId="0">
      <selection activeCell="A2" sqref="A2:F2"/>
    </sheetView>
  </sheetViews>
  <sheetFormatPr defaultColWidth="8" defaultRowHeight="13.5"/>
  <cols>
    <col min="1" max="1" width="35.625" style="160" customWidth="1"/>
    <col min="2" max="2" width="26.625" style="162" customWidth="1"/>
    <col min="3" max="5" width="26.625" style="160" customWidth="1"/>
    <col min="6" max="6" width="15.625" style="160" customWidth="1"/>
    <col min="7" max="7" width="12.625" style="161" bestFit="1" customWidth="1"/>
    <col min="8" max="254" width="8" style="161"/>
    <col min="255" max="255" width="0" style="161" hidden="1" customWidth="1"/>
    <col min="256" max="256" width="13.625" style="161" bestFit="1" customWidth="1"/>
    <col min="257" max="257" width="17.625" style="161" bestFit="1" customWidth="1"/>
    <col min="258" max="258" width="29.25" style="161" customWidth="1"/>
    <col min="259" max="260" width="31.75" style="161" customWidth="1"/>
    <col min="261" max="261" width="27.125" style="161" customWidth="1"/>
    <col min="262" max="262" width="26" style="161" customWidth="1"/>
    <col min="263" max="263" width="12.625" style="161" bestFit="1" customWidth="1"/>
    <col min="264" max="510" width="8" style="161"/>
    <col min="511" max="511" width="0" style="161" hidden="1" customWidth="1"/>
    <col min="512" max="512" width="13.625" style="161" bestFit="1" customWidth="1"/>
    <col min="513" max="513" width="17.625" style="161" bestFit="1" customWidth="1"/>
    <col min="514" max="514" width="29.25" style="161" customWidth="1"/>
    <col min="515" max="516" width="31.75" style="161" customWidth="1"/>
    <col min="517" max="517" width="27.125" style="161" customWidth="1"/>
    <col min="518" max="518" width="26" style="161" customWidth="1"/>
    <col min="519" max="519" width="12.625" style="161" bestFit="1" customWidth="1"/>
    <col min="520" max="766" width="8" style="161"/>
    <col min="767" max="767" width="0" style="161" hidden="1" customWidth="1"/>
    <col min="768" max="768" width="13.625" style="161" bestFit="1" customWidth="1"/>
    <col min="769" max="769" width="17.625" style="161" bestFit="1" customWidth="1"/>
    <col min="770" max="770" width="29.25" style="161" customWidth="1"/>
    <col min="771" max="772" width="31.75" style="161" customWidth="1"/>
    <col min="773" max="773" width="27.125" style="161" customWidth="1"/>
    <col min="774" max="774" width="26" style="161" customWidth="1"/>
    <col min="775" max="775" width="12.625" style="161" bestFit="1" customWidth="1"/>
    <col min="776" max="1022" width="8" style="161"/>
    <col min="1023" max="1023" width="0" style="161" hidden="1" customWidth="1"/>
    <col min="1024" max="1024" width="13.625" style="161" bestFit="1" customWidth="1"/>
    <col min="1025" max="1025" width="17.625" style="161" bestFit="1" customWidth="1"/>
    <col min="1026" max="1026" width="29.25" style="161" customWidth="1"/>
    <col min="1027" max="1028" width="31.75" style="161" customWidth="1"/>
    <col min="1029" max="1029" width="27.125" style="161" customWidth="1"/>
    <col min="1030" max="1030" width="26" style="161" customWidth="1"/>
    <col min="1031" max="1031" width="12.625" style="161" bestFit="1" customWidth="1"/>
    <col min="1032" max="1278" width="8" style="161"/>
    <col min="1279" max="1279" width="0" style="161" hidden="1" customWidth="1"/>
    <col min="1280" max="1280" width="13.625" style="161" bestFit="1" customWidth="1"/>
    <col min="1281" max="1281" width="17.625" style="161" bestFit="1" customWidth="1"/>
    <col min="1282" max="1282" width="29.25" style="161" customWidth="1"/>
    <col min="1283" max="1284" width="31.75" style="161" customWidth="1"/>
    <col min="1285" max="1285" width="27.125" style="161" customWidth="1"/>
    <col min="1286" max="1286" width="26" style="161" customWidth="1"/>
    <col min="1287" max="1287" width="12.625" style="161" bestFit="1" customWidth="1"/>
    <col min="1288" max="1534" width="8" style="161"/>
    <col min="1535" max="1535" width="0" style="161" hidden="1" customWidth="1"/>
    <col min="1536" max="1536" width="13.625" style="161" bestFit="1" customWidth="1"/>
    <col min="1537" max="1537" width="17.625" style="161" bestFit="1" customWidth="1"/>
    <col min="1538" max="1538" width="29.25" style="161" customWidth="1"/>
    <col min="1539" max="1540" width="31.75" style="161" customWidth="1"/>
    <col min="1541" max="1541" width="27.125" style="161" customWidth="1"/>
    <col min="1542" max="1542" width="26" style="161" customWidth="1"/>
    <col min="1543" max="1543" width="12.625" style="161" bestFit="1" customWidth="1"/>
    <col min="1544" max="1790" width="8" style="161"/>
    <col min="1791" max="1791" width="0" style="161" hidden="1" customWidth="1"/>
    <col min="1792" max="1792" width="13.625" style="161" bestFit="1" customWidth="1"/>
    <col min="1793" max="1793" width="17.625" style="161" bestFit="1" customWidth="1"/>
    <col min="1794" max="1794" width="29.25" style="161" customWidth="1"/>
    <col min="1795" max="1796" width="31.75" style="161" customWidth="1"/>
    <col min="1797" max="1797" width="27.125" style="161" customWidth="1"/>
    <col min="1798" max="1798" width="26" style="161" customWidth="1"/>
    <col min="1799" max="1799" width="12.625" style="161" bestFit="1" customWidth="1"/>
    <col min="1800" max="2046" width="8" style="161"/>
    <col min="2047" max="2047" width="0" style="161" hidden="1" customWidth="1"/>
    <col min="2048" max="2048" width="13.625" style="161" bestFit="1" customWidth="1"/>
    <col min="2049" max="2049" width="17.625" style="161" bestFit="1" customWidth="1"/>
    <col min="2050" max="2050" width="29.25" style="161" customWidth="1"/>
    <col min="2051" max="2052" width="31.75" style="161" customWidth="1"/>
    <col min="2053" max="2053" width="27.125" style="161" customWidth="1"/>
    <col min="2054" max="2054" width="26" style="161" customWidth="1"/>
    <col min="2055" max="2055" width="12.625" style="161" bestFit="1" customWidth="1"/>
    <col min="2056" max="2302" width="8" style="161"/>
    <col min="2303" max="2303" width="0" style="161" hidden="1" customWidth="1"/>
    <col min="2304" max="2304" width="13.625" style="161" bestFit="1" customWidth="1"/>
    <col min="2305" max="2305" width="17.625" style="161" bestFit="1" customWidth="1"/>
    <col min="2306" max="2306" width="29.25" style="161" customWidth="1"/>
    <col min="2307" max="2308" width="31.75" style="161" customWidth="1"/>
    <col min="2309" max="2309" width="27.125" style="161" customWidth="1"/>
    <col min="2310" max="2310" width="26" style="161" customWidth="1"/>
    <col min="2311" max="2311" width="12.625" style="161" bestFit="1" customWidth="1"/>
    <col min="2312" max="2558" width="8" style="161"/>
    <col min="2559" max="2559" width="0" style="161" hidden="1" customWidth="1"/>
    <col min="2560" max="2560" width="13.625" style="161" bestFit="1" customWidth="1"/>
    <col min="2561" max="2561" width="17.625" style="161" bestFit="1" customWidth="1"/>
    <col min="2562" max="2562" width="29.25" style="161" customWidth="1"/>
    <col min="2563" max="2564" width="31.75" style="161" customWidth="1"/>
    <col min="2565" max="2565" width="27.125" style="161" customWidth="1"/>
    <col min="2566" max="2566" width="26" style="161" customWidth="1"/>
    <col min="2567" max="2567" width="12.625" style="161" bestFit="1" customWidth="1"/>
    <col min="2568" max="2814" width="8" style="161"/>
    <col min="2815" max="2815" width="0" style="161" hidden="1" customWidth="1"/>
    <col min="2816" max="2816" width="13.625" style="161" bestFit="1" customWidth="1"/>
    <col min="2817" max="2817" width="17.625" style="161" bestFit="1" customWidth="1"/>
    <col min="2818" max="2818" width="29.25" style="161" customWidth="1"/>
    <col min="2819" max="2820" width="31.75" style="161" customWidth="1"/>
    <col min="2821" max="2821" width="27.125" style="161" customWidth="1"/>
    <col min="2822" max="2822" width="26" style="161" customWidth="1"/>
    <col min="2823" max="2823" width="12.625" style="161" bestFit="1" customWidth="1"/>
    <col min="2824" max="3070" width="8" style="161"/>
    <col min="3071" max="3071" width="0" style="161" hidden="1" customWidth="1"/>
    <col min="3072" max="3072" width="13.625" style="161" bestFit="1" customWidth="1"/>
    <col min="3073" max="3073" width="17.625" style="161" bestFit="1" customWidth="1"/>
    <col min="3074" max="3074" width="29.25" style="161" customWidth="1"/>
    <col min="3075" max="3076" width="31.75" style="161" customWidth="1"/>
    <col min="3077" max="3077" width="27.125" style="161" customWidth="1"/>
    <col min="3078" max="3078" width="26" style="161" customWidth="1"/>
    <col min="3079" max="3079" width="12.625" style="161" bestFit="1" customWidth="1"/>
    <col min="3080" max="3326" width="8" style="161"/>
    <col min="3327" max="3327" width="0" style="161" hidden="1" customWidth="1"/>
    <col min="3328" max="3328" width="13.625" style="161" bestFit="1" customWidth="1"/>
    <col min="3329" max="3329" width="17.625" style="161" bestFit="1" customWidth="1"/>
    <col min="3330" max="3330" width="29.25" style="161" customWidth="1"/>
    <col min="3331" max="3332" width="31.75" style="161" customWidth="1"/>
    <col min="3333" max="3333" width="27.125" style="161" customWidth="1"/>
    <col min="3334" max="3334" width="26" style="161" customWidth="1"/>
    <col min="3335" max="3335" width="12.625" style="161" bestFit="1" customWidth="1"/>
    <col min="3336" max="3582" width="8" style="161"/>
    <col min="3583" max="3583" width="0" style="161" hidden="1" customWidth="1"/>
    <col min="3584" max="3584" width="13.625" style="161" bestFit="1" customWidth="1"/>
    <col min="3585" max="3585" width="17.625" style="161" bestFit="1" customWidth="1"/>
    <col min="3586" max="3586" width="29.25" style="161" customWidth="1"/>
    <col min="3587" max="3588" width="31.75" style="161" customWidth="1"/>
    <col min="3589" max="3589" width="27.125" style="161" customWidth="1"/>
    <col min="3590" max="3590" width="26" style="161" customWidth="1"/>
    <col min="3591" max="3591" width="12.625" style="161" bestFit="1" customWidth="1"/>
    <col min="3592" max="3838" width="8" style="161"/>
    <col min="3839" max="3839" width="0" style="161" hidden="1" customWidth="1"/>
    <col min="3840" max="3840" width="13.625" style="161" bestFit="1" customWidth="1"/>
    <col min="3841" max="3841" width="17.625" style="161" bestFit="1" customWidth="1"/>
    <col min="3842" max="3842" width="29.25" style="161" customWidth="1"/>
    <col min="3843" max="3844" width="31.75" style="161" customWidth="1"/>
    <col min="3845" max="3845" width="27.125" style="161" customWidth="1"/>
    <col min="3846" max="3846" width="26" style="161" customWidth="1"/>
    <col min="3847" max="3847" width="12.625" style="161" bestFit="1" customWidth="1"/>
    <col min="3848" max="4094" width="8" style="161"/>
    <col min="4095" max="4095" width="0" style="161" hidden="1" customWidth="1"/>
    <col min="4096" max="4096" width="13.625" style="161" bestFit="1" customWidth="1"/>
    <col min="4097" max="4097" width="17.625" style="161" bestFit="1" customWidth="1"/>
    <col min="4098" max="4098" width="29.25" style="161" customWidth="1"/>
    <col min="4099" max="4100" width="31.75" style="161" customWidth="1"/>
    <col min="4101" max="4101" width="27.125" style="161" customWidth="1"/>
    <col min="4102" max="4102" width="26" style="161" customWidth="1"/>
    <col min="4103" max="4103" width="12.625" style="161" bestFit="1" customWidth="1"/>
    <col min="4104" max="4350" width="8" style="161"/>
    <col min="4351" max="4351" width="0" style="161" hidden="1" customWidth="1"/>
    <col min="4352" max="4352" width="13.625" style="161" bestFit="1" customWidth="1"/>
    <col min="4353" max="4353" width="17.625" style="161" bestFit="1" customWidth="1"/>
    <col min="4354" max="4354" width="29.25" style="161" customWidth="1"/>
    <col min="4355" max="4356" width="31.75" style="161" customWidth="1"/>
    <col min="4357" max="4357" width="27.125" style="161" customWidth="1"/>
    <col min="4358" max="4358" width="26" style="161" customWidth="1"/>
    <col min="4359" max="4359" width="12.625" style="161" bestFit="1" customWidth="1"/>
    <col min="4360" max="4606" width="8" style="161"/>
    <col min="4607" max="4607" width="0" style="161" hidden="1" customWidth="1"/>
    <col min="4608" max="4608" width="13.625" style="161" bestFit="1" customWidth="1"/>
    <col min="4609" max="4609" width="17.625" style="161" bestFit="1" customWidth="1"/>
    <col min="4610" max="4610" width="29.25" style="161" customWidth="1"/>
    <col min="4611" max="4612" width="31.75" style="161" customWidth="1"/>
    <col min="4613" max="4613" width="27.125" style="161" customWidth="1"/>
    <col min="4614" max="4614" width="26" style="161" customWidth="1"/>
    <col min="4615" max="4615" width="12.625" style="161" bestFit="1" customWidth="1"/>
    <col min="4616" max="4862" width="8" style="161"/>
    <col min="4863" max="4863" width="0" style="161" hidden="1" customWidth="1"/>
    <col min="4864" max="4864" width="13.625" style="161" bestFit="1" customWidth="1"/>
    <col min="4865" max="4865" width="17.625" style="161" bestFit="1" customWidth="1"/>
    <col min="4866" max="4866" width="29.25" style="161" customWidth="1"/>
    <col min="4867" max="4868" width="31.75" style="161" customWidth="1"/>
    <col min="4869" max="4869" width="27.125" style="161" customWidth="1"/>
    <col min="4870" max="4870" width="26" style="161" customWidth="1"/>
    <col min="4871" max="4871" width="12.625" style="161" bestFit="1" customWidth="1"/>
    <col min="4872" max="5118" width="8" style="161"/>
    <col min="5119" max="5119" width="0" style="161" hidden="1" customWidth="1"/>
    <col min="5120" max="5120" width="13.625" style="161" bestFit="1" customWidth="1"/>
    <col min="5121" max="5121" width="17.625" style="161" bestFit="1" customWidth="1"/>
    <col min="5122" max="5122" width="29.25" style="161" customWidth="1"/>
    <col min="5123" max="5124" width="31.75" style="161" customWidth="1"/>
    <col min="5125" max="5125" width="27.125" style="161" customWidth="1"/>
    <col min="5126" max="5126" width="26" style="161" customWidth="1"/>
    <col min="5127" max="5127" width="12.625" style="161" bestFit="1" customWidth="1"/>
    <col min="5128" max="5374" width="8" style="161"/>
    <col min="5375" max="5375" width="0" style="161" hidden="1" customWidth="1"/>
    <col min="5376" max="5376" width="13.625" style="161" bestFit="1" customWidth="1"/>
    <col min="5377" max="5377" width="17.625" style="161" bestFit="1" customWidth="1"/>
    <col min="5378" max="5378" width="29.25" style="161" customWidth="1"/>
    <col min="5379" max="5380" width="31.75" style="161" customWidth="1"/>
    <col min="5381" max="5381" width="27.125" style="161" customWidth="1"/>
    <col min="5382" max="5382" width="26" style="161" customWidth="1"/>
    <col min="5383" max="5383" width="12.625" style="161" bestFit="1" customWidth="1"/>
    <col min="5384" max="5630" width="8" style="161"/>
    <col min="5631" max="5631" width="0" style="161" hidden="1" customWidth="1"/>
    <col min="5632" max="5632" width="13.625" style="161" bestFit="1" customWidth="1"/>
    <col min="5633" max="5633" width="17.625" style="161" bestFit="1" customWidth="1"/>
    <col min="5634" max="5634" width="29.25" style="161" customWidth="1"/>
    <col min="5635" max="5636" width="31.75" style="161" customWidth="1"/>
    <col min="5637" max="5637" width="27.125" style="161" customWidth="1"/>
    <col min="5638" max="5638" width="26" style="161" customWidth="1"/>
    <col min="5639" max="5639" width="12.625" style="161" bestFit="1" customWidth="1"/>
    <col min="5640" max="5886" width="8" style="161"/>
    <col min="5887" max="5887" width="0" style="161" hidden="1" customWidth="1"/>
    <col min="5888" max="5888" width="13.625" style="161" bestFit="1" customWidth="1"/>
    <col min="5889" max="5889" width="17.625" style="161" bestFit="1" customWidth="1"/>
    <col min="5890" max="5890" width="29.25" style="161" customWidth="1"/>
    <col min="5891" max="5892" width="31.75" style="161" customWidth="1"/>
    <col min="5893" max="5893" width="27.125" style="161" customWidth="1"/>
    <col min="5894" max="5894" width="26" style="161" customWidth="1"/>
    <col min="5895" max="5895" width="12.625" style="161" bestFit="1" customWidth="1"/>
    <col min="5896" max="6142" width="8" style="161"/>
    <col min="6143" max="6143" width="0" style="161" hidden="1" customWidth="1"/>
    <col min="6144" max="6144" width="13.625" style="161" bestFit="1" customWidth="1"/>
    <col min="6145" max="6145" width="17.625" style="161" bestFit="1" customWidth="1"/>
    <col min="6146" max="6146" width="29.25" style="161" customWidth="1"/>
    <col min="6147" max="6148" width="31.75" style="161" customWidth="1"/>
    <col min="6149" max="6149" width="27.125" style="161" customWidth="1"/>
    <col min="6150" max="6150" width="26" style="161" customWidth="1"/>
    <col min="6151" max="6151" width="12.625" style="161" bestFit="1" customWidth="1"/>
    <col min="6152" max="6398" width="8" style="161"/>
    <col min="6399" max="6399" width="0" style="161" hidden="1" customWidth="1"/>
    <col min="6400" max="6400" width="13.625" style="161" bestFit="1" customWidth="1"/>
    <col min="6401" max="6401" width="17.625" style="161" bestFit="1" customWidth="1"/>
    <col min="6402" max="6402" width="29.25" style="161" customWidth="1"/>
    <col min="6403" max="6404" width="31.75" style="161" customWidth="1"/>
    <col min="6405" max="6405" width="27.125" style="161" customWidth="1"/>
    <col min="6406" max="6406" width="26" style="161" customWidth="1"/>
    <col min="6407" max="6407" width="12.625" style="161" bestFit="1" customWidth="1"/>
    <col min="6408" max="6654" width="8" style="161"/>
    <col min="6655" max="6655" width="0" style="161" hidden="1" customWidth="1"/>
    <col min="6656" max="6656" width="13.625" style="161" bestFit="1" customWidth="1"/>
    <col min="6657" max="6657" width="17.625" style="161" bestFit="1" customWidth="1"/>
    <col min="6658" max="6658" width="29.25" style="161" customWidth="1"/>
    <col min="6659" max="6660" width="31.75" style="161" customWidth="1"/>
    <col min="6661" max="6661" width="27.125" style="161" customWidth="1"/>
    <col min="6662" max="6662" width="26" style="161" customWidth="1"/>
    <col min="6663" max="6663" width="12.625" style="161" bestFit="1" customWidth="1"/>
    <col min="6664" max="6910" width="8" style="161"/>
    <col min="6911" max="6911" width="0" style="161" hidden="1" customWidth="1"/>
    <col min="6912" max="6912" width="13.625" style="161" bestFit="1" customWidth="1"/>
    <col min="6913" max="6913" width="17.625" style="161" bestFit="1" customWidth="1"/>
    <col min="6914" max="6914" width="29.25" style="161" customWidth="1"/>
    <col min="6915" max="6916" width="31.75" style="161" customWidth="1"/>
    <col min="6917" max="6917" width="27.125" style="161" customWidth="1"/>
    <col min="6918" max="6918" width="26" style="161" customWidth="1"/>
    <col min="6919" max="6919" width="12.625" style="161" bestFit="1" customWidth="1"/>
    <col min="6920" max="7166" width="8" style="161"/>
    <col min="7167" max="7167" width="0" style="161" hidden="1" customWidth="1"/>
    <col min="7168" max="7168" width="13.625" style="161" bestFit="1" customWidth="1"/>
    <col min="7169" max="7169" width="17.625" style="161" bestFit="1" customWidth="1"/>
    <col min="7170" max="7170" width="29.25" style="161" customWidth="1"/>
    <col min="7171" max="7172" width="31.75" style="161" customWidth="1"/>
    <col min="7173" max="7173" width="27.125" style="161" customWidth="1"/>
    <col min="7174" max="7174" width="26" style="161" customWidth="1"/>
    <col min="7175" max="7175" width="12.625" style="161" bestFit="1" customWidth="1"/>
    <col min="7176" max="7422" width="8" style="161"/>
    <col min="7423" max="7423" width="0" style="161" hidden="1" customWidth="1"/>
    <col min="7424" max="7424" width="13.625" style="161" bestFit="1" customWidth="1"/>
    <col min="7425" max="7425" width="17.625" style="161" bestFit="1" customWidth="1"/>
    <col min="7426" max="7426" width="29.25" style="161" customWidth="1"/>
    <col min="7427" max="7428" width="31.75" style="161" customWidth="1"/>
    <col min="7429" max="7429" width="27.125" style="161" customWidth="1"/>
    <col min="7430" max="7430" width="26" style="161" customWidth="1"/>
    <col min="7431" max="7431" width="12.625" style="161" bestFit="1" customWidth="1"/>
    <col min="7432" max="7678" width="8" style="161"/>
    <col min="7679" max="7679" width="0" style="161" hidden="1" customWidth="1"/>
    <col min="7680" max="7680" width="13.625" style="161" bestFit="1" customWidth="1"/>
    <col min="7681" max="7681" width="17.625" style="161" bestFit="1" customWidth="1"/>
    <col min="7682" max="7682" width="29.25" style="161" customWidth="1"/>
    <col min="7683" max="7684" width="31.75" style="161" customWidth="1"/>
    <col min="7685" max="7685" width="27.125" style="161" customWidth="1"/>
    <col min="7686" max="7686" width="26" style="161" customWidth="1"/>
    <col min="7687" max="7687" width="12.625" style="161" bestFit="1" customWidth="1"/>
    <col min="7688" max="7934" width="8" style="161"/>
    <col min="7935" max="7935" width="0" style="161" hidden="1" customWidth="1"/>
    <col min="7936" max="7936" width="13.625" style="161" bestFit="1" customWidth="1"/>
    <col min="7937" max="7937" width="17.625" style="161" bestFit="1" customWidth="1"/>
    <col min="7938" max="7938" width="29.25" style="161" customWidth="1"/>
    <col min="7939" max="7940" width="31.75" style="161" customWidth="1"/>
    <col min="7941" max="7941" width="27.125" style="161" customWidth="1"/>
    <col min="7942" max="7942" width="26" style="161" customWidth="1"/>
    <col min="7943" max="7943" width="12.625" style="161" bestFit="1" customWidth="1"/>
    <col min="7944" max="8190" width="8" style="161"/>
    <col min="8191" max="8191" width="0" style="161" hidden="1" customWidth="1"/>
    <col min="8192" max="8192" width="13.625" style="161" bestFit="1" customWidth="1"/>
    <col min="8193" max="8193" width="17.625" style="161" bestFit="1" customWidth="1"/>
    <col min="8194" max="8194" width="29.25" style="161" customWidth="1"/>
    <col min="8195" max="8196" width="31.75" style="161" customWidth="1"/>
    <col min="8197" max="8197" width="27.125" style="161" customWidth="1"/>
    <col min="8198" max="8198" width="26" style="161" customWidth="1"/>
    <col min="8199" max="8199" width="12.625" style="161" bestFit="1" customWidth="1"/>
    <col min="8200" max="8446" width="8" style="161"/>
    <col min="8447" max="8447" width="0" style="161" hidden="1" customWidth="1"/>
    <col min="8448" max="8448" width="13.625" style="161" bestFit="1" customWidth="1"/>
    <col min="8449" max="8449" width="17.625" style="161" bestFit="1" customWidth="1"/>
    <col min="8450" max="8450" width="29.25" style="161" customWidth="1"/>
    <col min="8451" max="8452" width="31.75" style="161" customWidth="1"/>
    <col min="8453" max="8453" width="27.125" style="161" customWidth="1"/>
    <col min="8454" max="8454" width="26" style="161" customWidth="1"/>
    <col min="8455" max="8455" width="12.625" style="161" bestFit="1" customWidth="1"/>
    <col min="8456" max="8702" width="8" style="161"/>
    <col min="8703" max="8703" width="0" style="161" hidden="1" customWidth="1"/>
    <col min="8704" max="8704" width="13.625" style="161" bestFit="1" customWidth="1"/>
    <col min="8705" max="8705" width="17.625" style="161" bestFit="1" customWidth="1"/>
    <col min="8706" max="8706" width="29.25" style="161" customWidth="1"/>
    <col min="8707" max="8708" width="31.75" style="161" customWidth="1"/>
    <col min="8709" max="8709" width="27.125" style="161" customWidth="1"/>
    <col min="8710" max="8710" width="26" style="161" customWidth="1"/>
    <col min="8711" max="8711" width="12.625" style="161" bestFit="1" customWidth="1"/>
    <col min="8712" max="8958" width="8" style="161"/>
    <col min="8959" max="8959" width="0" style="161" hidden="1" customWidth="1"/>
    <col min="8960" max="8960" width="13.625" style="161" bestFit="1" customWidth="1"/>
    <col min="8961" max="8961" width="17.625" style="161" bestFit="1" customWidth="1"/>
    <col min="8962" max="8962" width="29.25" style="161" customWidth="1"/>
    <col min="8963" max="8964" width="31.75" style="161" customWidth="1"/>
    <col min="8965" max="8965" width="27.125" style="161" customWidth="1"/>
    <col min="8966" max="8966" width="26" style="161" customWidth="1"/>
    <col min="8967" max="8967" width="12.625" style="161" bestFit="1" customWidth="1"/>
    <col min="8968" max="9214" width="8" style="161"/>
    <col min="9215" max="9215" width="0" style="161" hidden="1" customWidth="1"/>
    <col min="9216" max="9216" width="13.625" style="161" bestFit="1" customWidth="1"/>
    <col min="9217" max="9217" width="17.625" style="161" bestFit="1" customWidth="1"/>
    <col min="9218" max="9218" width="29.25" style="161" customWidth="1"/>
    <col min="9219" max="9220" width="31.75" style="161" customWidth="1"/>
    <col min="9221" max="9221" width="27.125" style="161" customWidth="1"/>
    <col min="9222" max="9222" width="26" style="161" customWidth="1"/>
    <col min="9223" max="9223" width="12.625" style="161" bestFit="1" customWidth="1"/>
    <col min="9224" max="9470" width="8" style="161"/>
    <col min="9471" max="9471" width="0" style="161" hidden="1" customWidth="1"/>
    <col min="9472" max="9472" width="13.625" style="161" bestFit="1" customWidth="1"/>
    <col min="9473" max="9473" width="17.625" style="161" bestFit="1" customWidth="1"/>
    <col min="9474" max="9474" width="29.25" style="161" customWidth="1"/>
    <col min="9475" max="9476" width="31.75" style="161" customWidth="1"/>
    <col min="9477" max="9477" width="27.125" style="161" customWidth="1"/>
    <col min="9478" max="9478" width="26" style="161" customWidth="1"/>
    <col min="9479" max="9479" width="12.625" style="161" bestFit="1" customWidth="1"/>
    <col min="9480" max="9726" width="8" style="161"/>
    <col min="9727" max="9727" width="0" style="161" hidden="1" customWidth="1"/>
    <col min="9728" max="9728" width="13.625" style="161" bestFit="1" customWidth="1"/>
    <col min="9729" max="9729" width="17.625" style="161" bestFit="1" customWidth="1"/>
    <col min="9730" max="9730" width="29.25" style="161" customWidth="1"/>
    <col min="9731" max="9732" width="31.75" style="161" customWidth="1"/>
    <col min="9733" max="9733" width="27.125" style="161" customWidth="1"/>
    <col min="9734" max="9734" width="26" style="161" customWidth="1"/>
    <col min="9735" max="9735" width="12.625" style="161" bestFit="1" customWidth="1"/>
    <col min="9736" max="9982" width="8" style="161"/>
    <col min="9983" max="9983" width="0" style="161" hidden="1" customWidth="1"/>
    <col min="9984" max="9984" width="13.625" style="161" bestFit="1" customWidth="1"/>
    <col min="9985" max="9985" width="17.625" style="161" bestFit="1" customWidth="1"/>
    <col min="9986" max="9986" width="29.25" style="161" customWidth="1"/>
    <col min="9987" max="9988" width="31.75" style="161" customWidth="1"/>
    <col min="9989" max="9989" width="27.125" style="161" customWidth="1"/>
    <col min="9990" max="9990" width="26" style="161" customWidth="1"/>
    <col min="9991" max="9991" width="12.625" style="161" bestFit="1" customWidth="1"/>
    <col min="9992" max="10238" width="8" style="161"/>
    <col min="10239" max="10239" width="0" style="161" hidden="1" customWidth="1"/>
    <col min="10240" max="10240" width="13.625" style="161" bestFit="1" customWidth="1"/>
    <col min="10241" max="10241" width="17.625" style="161" bestFit="1" customWidth="1"/>
    <col min="10242" max="10242" width="29.25" style="161" customWidth="1"/>
    <col min="10243" max="10244" width="31.75" style="161" customWidth="1"/>
    <col min="10245" max="10245" width="27.125" style="161" customWidth="1"/>
    <col min="10246" max="10246" width="26" style="161" customWidth="1"/>
    <col min="10247" max="10247" width="12.625" style="161" bestFit="1" customWidth="1"/>
    <col min="10248" max="10494" width="8" style="161"/>
    <col min="10495" max="10495" width="0" style="161" hidden="1" customWidth="1"/>
    <col min="10496" max="10496" width="13.625" style="161" bestFit="1" customWidth="1"/>
    <col min="10497" max="10497" width="17.625" style="161" bestFit="1" customWidth="1"/>
    <col min="10498" max="10498" width="29.25" style="161" customWidth="1"/>
    <col min="10499" max="10500" width="31.75" style="161" customWidth="1"/>
    <col min="10501" max="10501" width="27.125" style="161" customWidth="1"/>
    <col min="10502" max="10502" width="26" style="161" customWidth="1"/>
    <col min="10503" max="10503" width="12.625" style="161" bestFit="1" customWidth="1"/>
    <col min="10504" max="10750" width="8" style="161"/>
    <col min="10751" max="10751" width="0" style="161" hidden="1" customWidth="1"/>
    <col min="10752" max="10752" width="13.625" style="161" bestFit="1" customWidth="1"/>
    <col min="10753" max="10753" width="17.625" style="161" bestFit="1" customWidth="1"/>
    <col min="10754" max="10754" width="29.25" style="161" customWidth="1"/>
    <col min="10755" max="10756" width="31.75" style="161" customWidth="1"/>
    <col min="10757" max="10757" width="27.125" style="161" customWidth="1"/>
    <col min="10758" max="10758" width="26" style="161" customWidth="1"/>
    <col min="10759" max="10759" width="12.625" style="161" bestFit="1" customWidth="1"/>
    <col min="10760" max="11006" width="8" style="161"/>
    <col min="11007" max="11007" width="0" style="161" hidden="1" customWidth="1"/>
    <col min="11008" max="11008" width="13.625" style="161" bestFit="1" customWidth="1"/>
    <col min="11009" max="11009" width="17.625" style="161" bestFit="1" customWidth="1"/>
    <col min="11010" max="11010" width="29.25" style="161" customWidth="1"/>
    <col min="11011" max="11012" width="31.75" style="161" customWidth="1"/>
    <col min="11013" max="11013" width="27.125" style="161" customWidth="1"/>
    <col min="11014" max="11014" width="26" style="161" customWidth="1"/>
    <col min="11015" max="11015" width="12.625" style="161" bestFit="1" customWidth="1"/>
    <col min="11016" max="11262" width="8" style="161"/>
    <col min="11263" max="11263" width="0" style="161" hidden="1" customWidth="1"/>
    <col min="11264" max="11264" width="13.625" style="161" bestFit="1" customWidth="1"/>
    <col min="11265" max="11265" width="17.625" style="161" bestFit="1" customWidth="1"/>
    <col min="11266" max="11266" width="29.25" style="161" customWidth="1"/>
    <col min="11267" max="11268" width="31.75" style="161" customWidth="1"/>
    <col min="11269" max="11269" width="27.125" style="161" customWidth="1"/>
    <col min="11270" max="11270" width="26" style="161" customWidth="1"/>
    <col min="11271" max="11271" width="12.625" style="161" bestFit="1" customWidth="1"/>
    <col min="11272" max="11518" width="8" style="161"/>
    <col min="11519" max="11519" width="0" style="161" hidden="1" customWidth="1"/>
    <col min="11520" max="11520" width="13.625" style="161" bestFit="1" customWidth="1"/>
    <col min="11521" max="11521" width="17.625" style="161" bestFit="1" customWidth="1"/>
    <col min="11522" max="11522" width="29.25" style="161" customWidth="1"/>
    <col min="11523" max="11524" width="31.75" style="161" customWidth="1"/>
    <col min="11525" max="11525" width="27.125" style="161" customWidth="1"/>
    <col min="11526" max="11526" width="26" style="161" customWidth="1"/>
    <col min="11527" max="11527" width="12.625" style="161" bestFit="1" customWidth="1"/>
    <col min="11528" max="11774" width="8" style="161"/>
    <col min="11775" max="11775" width="0" style="161" hidden="1" customWidth="1"/>
    <col min="11776" max="11776" width="13.625" style="161" bestFit="1" customWidth="1"/>
    <col min="11777" max="11777" width="17.625" style="161" bestFit="1" customWidth="1"/>
    <col min="11778" max="11778" width="29.25" style="161" customWidth="1"/>
    <col min="11779" max="11780" width="31.75" style="161" customWidth="1"/>
    <col min="11781" max="11781" width="27.125" style="161" customWidth="1"/>
    <col min="11782" max="11782" width="26" style="161" customWidth="1"/>
    <col min="11783" max="11783" width="12.625" style="161" bestFit="1" customWidth="1"/>
    <col min="11784" max="12030" width="8" style="161"/>
    <col min="12031" max="12031" width="0" style="161" hidden="1" customWidth="1"/>
    <col min="12032" max="12032" width="13.625" style="161" bestFit="1" customWidth="1"/>
    <col min="12033" max="12033" width="17.625" style="161" bestFit="1" customWidth="1"/>
    <col min="12034" max="12034" width="29.25" style="161" customWidth="1"/>
    <col min="12035" max="12036" width="31.75" style="161" customWidth="1"/>
    <col min="12037" max="12037" width="27.125" style="161" customWidth="1"/>
    <col min="12038" max="12038" width="26" style="161" customWidth="1"/>
    <col min="12039" max="12039" width="12.625" style="161" bestFit="1" customWidth="1"/>
    <col min="12040" max="12286" width="8" style="161"/>
    <col min="12287" max="12287" width="0" style="161" hidden="1" customWidth="1"/>
    <col min="12288" max="12288" width="13.625" style="161" bestFit="1" customWidth="1"/>
    <col min="12289" max="12289" width="17.625" style="161" bestFit="1" customWidth="1"/>
    <col min="12290" max="12290" width="29.25" style="161" customWidth="1"/>
    <col min="12291" max="12292" width="31.75" style="161" customWidth="1"/>
    <col min="12293" max="12293" width="27.125" style="161" customWidth="1"/>
    <col min="12294" max="12294" width="26" style="161" customWidth="1"/>
    <col min="12295" max="12295" width="12.625" style="161" bestFit="1" customWidth="1"/>
    <col min="12296" max="12542" width="8" style="161"/>
    <col min="12543" max="12543" width="0" style="161" hidden="1" customWidth="1"/>
    <col min="12544" max="12544" width="13.625" style="161" bestFit="1" customWidth="1"/>
    <col min="12545" max="12545" width="17.625" style="161" bestFit="1" customWidth="1"/>
    <col min="12546" max="12546" width="29.25" style="161" customWidth="1"/>
    <col min="12547" max="12548" width="31.75" style="161" customWidth="1"/>
    <col min="12549" max="12549" width="27.125" style="161" customWidth="1"/>
    <col min="12550" max="12550" width="26" style="161" customWidth="1"/>
    <col min="12551" max="12551" width="12.625" style="161" bestFit="1" customWidth="1"/>
    <col min="12552" max="12798" width="8" style="161"/>
    <col min="12799" max="12799" width="0" style="161" hidden="1" customWidth="1"/>
    <col min="12800" max="12800" width="13.625" style="161" bestFit="1" customWidth="1"/>
    <col min="12801" max="12801" width="17.625" style="161" bestFit="1" customWidth="1"/>
    <col min="12802" max="12802" width="29.25" style="161" customWidth="1"/>
    <col min="12803" max="12804" width="31.75" style="161" customWidth="1"/>
    <col min="12805" max="12805" width="27.125" style="161" customWidth="1"/>
    <col min="12806" max="12806" width="26" style="161" customWidth="1"/>
    <col min="12807" max="12807" width="12.625" style="161" bestFit="1" customWidth="1"/>
    <col min="12808" max="13054" width="8" style="161"/>
    <col min="13055" max="13055" width="0" style="161" hidden="1" customWidth="1"/>
    <col min="13056" max="13056" width="13.625" style="161" bestFit="1" customWidth="1"/>
    <col min="13057" max="13057" width="17.625" style="161" bestFit="1" customWidth="1"/>
    <col min="13058" max="13058" width="29.25" style="161" customWidth="1"/>
    <col min="13059" max="13060" width="31.75" style="161" customWidth="1"/>
    <col min="13061" max="13061" width="27.125" style="161" customWidth="1"/>
    <col min="13062" max="13062" width="26" style="161" customWidth="1"/>
    <col min="13063" max="13063" width="12.625" style="161" bestFit="1" customWidth="1"/>
    <col min="13064" max="13310" width="8" style="161"/>
    <col min="13311" max="13311" width="0" style="161" hidden="1" customWidth="1"/>
    <col min="13312" max="13312" width="13.625" style="161" bestFit="1" customWidth="1"/>
    <col min="13313" max="13313" width="17.625" style="161" bestFit="1" customWidth="1"/>
    <col min="13314" max="13314" width="29.25" style="161" customWidth="1"/>
    <col min="13315" max="13316" width="31.75" style="161" customWidth="1"/>
    <col min="13317" max="13317" width="27.125" style="161" customWidth="1"/>
    <col min="13318" max="13318" width="26" style="161" customWidth="1"/>
    <col min="13319" max="13319" width="12.625" style="161" bestFit="1" customWidth="1"/>
    <col min="13320" max="13566" width="8" style="161"/>
    <col min="13567" max="13567" width="0" style="161" hidden="1" customWidth="1"/>
    <col min="13568" max="13568" width="13.625" style="161" bestFit="1" customWidth="1"/>
    <col min="13569" max="13569" width="17.625" style="161" bestFit="1" customWidth="1"/>
    <col min="13570" max="13570" width="29.25" style="161" customWidth="1"/>
    <col min="13571" max="13572" width="31.75" style="161" customWidth="1"/>
    <col min="13573" max="13573" width="27.125" style="161" customWidth="1"/>
    <col min="13574" max="13574" width="26" style="161" customWidth="1"/>
    <col min="13575" max="13575" width="12.625" style="161" bestFit="1" customWidth="1"/>
    <col min="13576" max="13822" width="8" style="161"/>
    <col min="13823" max="13823" width="0" style="161" hidden="1" customWidth="1"/>
    <col min="13824" max="13824" width="13.625" style="161" bestFit="1" customWidth="1"/>
    <col min="13825" max="13825" width="17.625" style="161" bestFit="1" customWidth="1"/>
    <col min="13826" max="13826" width="29.25" style="161" customWidth="1"/>
    <col min="13827" max="13828" width="31.75" style="161" customWidth="1"/>
    <col min="13829" max="13829" width="27.125" style="161" customWidth="1"/>
    <col min="13830" max="13830" width="26" style="161" customWidth="1"/>
    <col min="13831" max="13831" width="12.625" style="161" bestFit="1" customWidth="1"/>
    <col min="13832" max="14078" width="8" style="161"/>
    <col min="14079" max="14079" width="0" style="161" hidden="1" customWidth="1"/>
    <col min="14080" max="14080" width="13.625" style="161" bestFit="1" customWidth="1"/>
    <col min="14081" max="14081" width="17.625" style="161" bestFit="1" customWidth="1"/>
    <col min="14082" max="14082" width="29.25" style="161" customWidth="1"/>
    <col min="14083" max="14084" width="31.75" style="161" customWidth="1"/>
    <col min="14085" max="14085" width="27.125" style="161" customWidth="1"/>
    <col min="14086" max="14086" width="26" style="161" customWidth="1"/>
    <col min="14087" max="14087" width="12.625" style="161" bestFit="1" customWidth="1"/>
    <col min="14088" max="14334" width="8" style="161"/>
    <col min="14335" max="14335" width="0" style="161" hidden="1" customWidth="1"/>
    <col min="14336" max="14336" width="13.625" style="161" bestFit="1" customWidth="1"/>
    <col min="14337" max="14337" width="17.625" style="161" bestFit="1" customWidth="1"/>
    <col min="14338" max="14338" width="29.25" style="161" customWidth="1"/>
    <col min="14339" max="14340" width="31.75" style="161" customWidth="1"/>
    <col min="14341" max="14341" width="27.125" style="161" customWidth="1"/>
    <col min="14342" max="14342" width="26" style="161" customWidth="1"/>
    <col min="14343" max="14343" width="12.625" style="161" bestFit="1" customWidth="1"/>
    <col min="14344" max="14590" width="8" style="161"/>
    <col min="14591" max="14591" width="0" style="161" hidden="1" customWidth="1"/>
    <col min="14592" max="14592" width="13.625" style="161" bestFit="1" customWidth="1"/>
    <col min="14593" max="14593" width="17.625" style="161" bestFit="1" customWidth="1"/>
    <col min="14594" max="14594" width="29.25" style="161" customWidth="1"/>
    <col min="14595" max="14596" width="31.75" style="161" customWidth="1"/>
    <col min="14597" max="14597" width="27.125" style="161" customWidth="1"/>
    <col min="14598" max="14598" width="26" style="161" customWidth="1"/>
    <col min="14599" max="14599" width="12.625" style="161" bestFit="1" customWidth="1"/>
    <col min="14600" max="14846" width="8" style="161"/>
    <col min="14847" max="14847" width="0" style="161" hidden="1" customWidth="1"/>
    <col min="14848" max="14848" width="13.625" style="161" bestFit="1" customWidth="1"/>
    <col min="14849" max="14849" width="17.625" style="161" bestFit="1" customWidth="1"/>
    <col min="14850" max="14850" width="29.25" style="161" customWidth="1"/>
    <col min="14851" max="14852" width="31.75" style="161" customWidth="1"/>
    <col min="14853" max="14853" width="27.125" style="161" customWidth="1"/>
    <col min="14854" max="14854" width="26" style="161" customWidth="1"/>
    <col min="14855" max="14855" width="12.625" style="161" bestFit="1" customWidth="1"/>
    <col min="14856" max="15102" width="8" style="161"/>
    <col min="15103" max="15103" width="0" style="161" hidden="1" customWidth="1"/>
    <col min="15104" max="15104" width="13.625" style="161" bestFit="1" customWidth="1"/>
    <col min="15105" max="15105" width="17.625" style="161" bestFit="1" customWidth="1"/>
    <col min="15106" max="15106" width="29.25" style="161" customWidth="1"/>
    <col min="15107" max="15108" width="31.75" style="161" customWidth="1"/>
    <col min="15109" max="15109" width="27.125" style="161" customWidth="1"/>
    <col min="15110" max="15110" width="26" style="161" customWidth="1"/>
    <col min="15111" max="15111" width="12.625" style="161" bestFit="1" customWidth="1"/>
    <col min="15112" max="15358" width="8" style="161"/>
    <col min="15359" max="15359" width="0" style="161" hidden="1" customWidth="1"/>
    <col min="15360" max="15360" width="13.625" style="161" bestFit="1" customWidth="1"/>
    <col min="15361" max="15361" width="17.625" style="161" bestFit="1" customWidth="1"/>
    <col min="15362" max="15362" width="29.25" style="161" customWidth="1"/>
    <col min="15363" max="15364" width="31.75" style="161" customWidth="1"/>
    <col min="15365" max="15365" width="27.125" style="161" customWidth="1"/>
    <col min="15366" max="15366" width="26" style="161" customWidth="1"/>
    <col min="15367" max="15367" width="12.625" style="161" bestFit="1" customWidth="1"/>
    <col min="15368" max="15614" width="8" style="161"/>
    <col min="15615" max="15615" width="0" style="161" hidden="1" customWidth="1"/>
    <col min="15616" max="15616" width="13.625" style="161" bestFit="1" customWidth="1"/>
    <col min="15617" max="15617" width="17.625" style="161" bestFit="1" customWidth="1"/>
    <col min="15618" max="15618" width="29.25" style="161" customWidth="1"/>
    <col min="15619" max="15620" width="31.75" style="161" customWidth="1"/>
    <col min="15621" max="15621" width="27.125" style="161" customWidth="1"/>
    <col min="15622" max="15622" width="26" style="161" customWidth="1"/>
    <col min="15623" max="15623" width="12.625" style="161" bestFit="1" customWidth="1"/>
    <col min="15624" max="15870" width="8" style="161"/>
    <col min="15871" max="15871" width="0" style="161" hidden="1" customWidth="1"/>
    <col min="15872" max="15872" width="13.625" style="161" bestFit="1" customWidth="1"/>
    <col min="15873" max="15873" width="17.625" style="161" bestFit="1" customWidth="1"/>
    <col min="15874" max="15874" width="29.25" style="161" customWidth="1"/>
    <col min="15875" max="15876" width="31.75" style="161" customWidth="1"/>
    <col min="15877" max="15877" width="27.125" style="161" customWidth="1"/>
    <col min="15878" max="15878" width="26" style="161" customWidth="1"/>
    <col min="15879" max="15879" width="12.625" style="161" bestFit="1" customWidth="1"/>
    <col min="15880" max="16126" width="8" style="161"/>
    <col min="16127" max="16127" width="0" style="161" hidden="1" customWidth="1"/>
    <col min="16128" max="16128" width="13.625" style="161" bestFit="1" customWidth="1"/>
    <col min="16129" max="16129" width="17.625" style="161" bestFit="1" customWidth="1"/>
    <col min="16130" max="16130" width="29.25" style="161" customWidth="1"/>
    <col min="16131" max="16132" width="31.75" style="161" customWidth="1"/>
    <col min="16133" max="16133" width="27.125" style="161" customWidth="1"/>
    <col min="16134" max="16134" width="26" style="161" customWidth="1"/>
    <col min="16135" max="16135" width="12.625" style="161" bestFit="1" customWidth="1"/>
    <col min="16136" max="16384" width="8" style="161"/>
  </cols>
  <sheetData>
    <row r="1" spans="1:6" ht="20.100000000000001" customHeight="1">
      <c r="A1" s="273" t="s">
        <v>589</v>
      </c>
      <c r="B1" s="195"/>
      <c r="C1" s="194"/>
      <c r="D1" s="194"/>
      <c r="E1" s="194"/>
      <c r="F1" s="194"/>
    </row>
    <row r="2" spans="1:6" ht="35.1" customHeight="1">
      <c r="A2" s="322" t="s">
        <v>595</v>
      </c>
      <c r="B2" s="322"/>
      <c r="C2" s="322"/>
      <c r="D2" s="322"/>
      <c r="E2" s="322"/>
      <c r="F2" s="322"/>
    </row>
    <row r="3" spans="1:6" ht="20.100000000000001" customHeight="1">
      <c r="A3" s="188"/>
      <c r="B3" s="189"/>
      <c r="C3" s="173"/>
      <c r="D3" s="173"/>
      <c r="E3" s="190"/>
      <c r="F3" s="176" t="s">
        <v>487</v>
      </c>
    </row>
    <row r="4" spans="1:6" s="198" customFormat="1" ht="35.1" customHeight="1">
      <c r="A4" s="196" t="s">
        <v>488</v>
      </c>
      <c r="B4" s="197" t="s">
        <v>535</v>
      </c>
      <c r="C4" s="168" t="s">
        <v>489</v>
      </c>
      <c r="D4" s="168" t="s">
        <v>490</v>
      </c>
      <c r="E4" s="168" t="s">
        <v>491</v>
      </c>
      <c r="F4" s="168" t="s">
        <v>536</v>
      </c>
    </row>
    <row r="5" spans="1:6" s="198" customFormat="1" ht="20.100000000000001" customHeight="1">
      <c r="A5" s="199" t="s">
        <v>492</v>
      </c>
      <c r="B5" s="200">
        <v>537437885.13</v>
      </c>
      <c r="C5" s="200">
        <v>-99281130.099999994</v>
      </c>
      <c r="D5" s="200">
        <v>438156755.02999997</v>
      </c>
      <c r="E5" s="200">
        <v>438156755.02999997</v>
      </c>
      <c r="F5" s="178"/>
    </row>
    <row r="6" spans="1:6" s="198" customFormat="1" ht="20.100000000000001" customHeight="1">
      <c r="A6" s="199" t="s">
        <v>493</v>
      </c>
      <c r="B6" s="200">
        <v>441886998.31</v>
      </c>
      <c r="C6" s="200">
        <v>0</v>
      </c>
      <c r="D6" s="200">
        <v>441886998.31</v>
      </c>
      <c r="E6" s="200">
        <v>563876475.92000008</v>
      </c>
      <c r="F6" s="178">
        <v>1.2760648719617227</v>
      </c>
    </row>
    <row r="7" spans="1:6" ht="20.100000000000001" customHeight="1">
      <c r="A7" s="167" t="s">
        <v>510</v>
      </c>
      <c r="B7" s="191">
        <v>441886998.31</v>
      </c>
      <c r="C7" s="191"/>
      <c r="D7" s="191">
        <v>441886998.31</v>
      </c>
      <c r="E7" s="191">
        <v>405756475.92000002</v>
      </c>
      <c r="F7" s="180">
        <v>0.91823583285278487</v>
      </c>
    </row>
    <row r="8" spans="1:6" ht="20.100000000000001" customHeight="1">
      <c r="A8" s="167" t="s">
        <v>511</v>
      </c>
      <c r="B8" s="191">
        <v>48404374.899999999</v>
      </c>
      <c r="C8" s="191">
        <v>0</v>
      </c>
      <c r="D8" s="191">
        <v>48404374.899999999</v>
      </c>
      <c r="E8" s="191">
        <v>58759440</v>
      </c>
      <c r="F8" s="180">
        <v>1.2139282889489396</v>
      </c>
    </row>
    <row r="9" spans="1:6" ht="20.100000000000001" customHeight="1">
      <c r="A9" s="167" t="s">
        <v>512</v>
      </c>
      <c r="B9" s="191">
        <v>1070226.3600000001</v>
      </c>
      <c r="C9" s="191">
        <v>0</v>
      </c>
      <c r="D9" s="191">
        <v>1070226.3600000001</v>
      </c>
      <c r="E9" s="191">
        <v>28045</v>
      </c>
      <c r="F9" s="180">
        <v>2.6204736725041977E-2</v>
      </c>
    </row>
    <row r="10" spans="1:6" ht="20.100000000000001" customHeight="1">
      <c r="A10" s="167" t="s">
        <v>513</v>
      </c>
      <c r="B10" s="191">
        <v>6519175</v>
      </c>
      <c r="C10" s="191">
        <v>0</v>
      </c>
      <c r="D10" s="191">
        <v>6519175</v>
      </c>
      <c r="E10" s="191">
        <v>5579508.3300000001</v>
      </c>
      <c r="F10" s="180">
        <v>0.85586110665843451</v>
      </c>
    </row>
    <row r="11" spans="1:6" ht="20.100000000000001" customHeight="1">
      <c r="A11" s="167" t="s">
        <v>514</v>
      </c>
      <c r="B11" s="191">
        <v>384589673.51999998</v>
      </c>
      <c r="C11" s="191">
        <v>0</v>
      </c>
      <c r="D11" s="191">
        <v>384589673.51999998</v>
      </c>
      <c r="E11" s="191">
        <v>336346531</v>
      </c>
      <c r="F11" s="180">
        <v>0.87455944389133167</v>
      </c>
    </row>
    <row r="12" spans="1:6" ht="20.100000000000001" customHeight="1">
      <c r="A12" s="167" t="s">
        <v>515</v>
      </c>
      <c r="B12" s="191">
        <v>1249300</v>
      </c>
      <c r="C12" s="191">
        <v>0</v>
      </c>
      <c r="D12" s="191">
        <v>1249300</v>
      </c>
      <c r="E12" s="191">
        <v>4078423.35</v>
      </c>
      <c r="F12" s="180">
        <v>3.2645668374289603</v>
      </c>
    </row>
    <row r="13" spans="1:6" ht="20.100000000000001" customHeight="1">
      <c r="A13" s="167" t="s">
        <v>516</v>
      </c>
      <c r="B13" s="191"/>
      <c r="C13" s="191">
        <v>0</v>
      </c>
      <c r="D13" s="191">
        <v>0</v>
      </c>
      <c r="E13" s="191">
        <v>860822.74</v>
      </c>
      <c r="F13" s="180"/>
    </row>
    <row r="14" spans="1:6" ht="20.100000000000001" customHeight="1">
      <c r="A14" s="167" t="s">
        <v>517</v>
      </c>
      <c r="B14" s="191">
        <v>54248.53</v>
      </c>
      <c r="C14" s="191">
        <v>0</v>
      </c>
      <c r="D14" s="191">
        <v>54248.53</v>
      </c>
      <c r="E14" s="191">
        <v>103705.5</v>
      </c>
      <c r="F14" s="180">
        <v>1.9116739200122106</v>
      </c>
    </row>
    <row r="15" spans="1:6" ht="20.100000000000001" customHeight="1">
      <c r="A15" s="167" t="s">
        <v>501</v>
      </c>
      <c r="B15" s="191"/>
      <c r="C15" s="191">
        <v>0</v>
      </c>
      <c r="D15" s="191">
        <v>0</v>
      </c>
      <c r="E15" s="191">
        <v>158120000</v>
      </c>
      <c r="F15" s="180"/>
    </row>
    <row r="16" spans="1:6" ht="20.100000000000001" customHeight="1">
      <c r="A16" s="167" t="s">
        <v>502</v>
      </c>
      <c r="B16" s="191"/>
      <c r="C16" s="191">
        <v>0</v>
      </c>
      <c r="D16" s="191">
        <v>0</v>
      </c>
      <c r="E16" s="191">
        <v>0</v>
      </c>
      <c r="F16" s="180"/>
    </row>
    <row r="17" spans="1:6" s="198" customFormat="1" ht="20.100000000000001" customHeight="1">
      <c r="A17" s="199" t="s">
        <v>503</v>
      </c>
      <c r="B17" s="200">
        <v>332310671.14999998</v>
      </c>
      <c r="C17" s="200">
        <v>0</v>
      </c>
      <c r="D17" s="200">
        <v>332310671.14999998</v>
      </c>
      <c r="E17" s="200">
        <v>695447218.78999996</v>
      </c>
      <c r="F17" s="178">
        <v>2.092762222721658</v>
      </c>
    </row>
    <row r="18" spans="1:6" ht="20.100000000000001" customHeight="1">
      <c r="A18" s="167" t="s">
        <v>518</v>
      </c>
      <c r="B18" s="192">
        <v>332310671.14999998</v>
      </c>
      <c r="C18" s="191">
        <v>0</v>
      </c>
      <c r="D18" s="191">
        <v>332310671.14999998</v>
      </c>
      <c r="E18" s="191">
        <v>344720157.96000004</v>
      </c>
      <c r="F18" s="180">
        <v>1.0373430283386795</v>
      </c>
    </row>
    <row r="19" spans="1:6" ht="20.100000000000001" customHeight="1">
      <c r="A19" s="167" t="s">
        <v>519</v>
      </c>
      <c r="B19" s="191">
        <v>323858473.19999999</v>
      </c>
      <c r="C19" s="191">
        <v>0</v>
      </c>
      <c r="D19" s="191">
        <v>323858473.19999999</v>
      </c>
      <c r="E19" s="191">
        <v>333332943</v>
      </c>
      <c r="F19" s="180">
        <v>1.0292549696365332</v>
      </c>
    </row>
    <row r="20" spans="1:6" ht="20.100000000000001" customHeight="1">
      <c r="A20" s="167" t="s">
        <v>520</v>
      </c>
      <c r="B20" s="191">
        <v>7151194.6799999997</v>
      </c>
      <c r="C20" s="191">
        <v>0</v>
      </c>
      <c r="D20" s="191">
        <v>7151194.6799999997</v>
      </c>
      <c r="E20" s="191">
        <v>8834045.0500000007</v>
      </c>
      <c r="F20" s="180">
        <v>1.2353243682075232</v>
      </c>
    </row>
    <row r="21" spans="1:6" ht="20.100000000000001" customHeight="1">
      <c r="A21" s="167" t="s">
        <v>521</v>
      </c>
      <c r="B21" s="191">
        <v>1233520</v>
      </c>
      <c r="C21" s="191">
        <v>0</v>
      </c>
      <c r="D21" s="191">
        <v>1233520</v>
      </c>
      <c r="E21" s="191">
        <v>2436240</v>
      </c>
      <c r="F21" s="180">
        <v>1.9750308061482587</v>
      </c>
    </row>
    <row r="22" spans="1:6" ht="20.100000000000001" customHeight="1">
      <c r="A22" s="167" t="s">
        <v>522</v>
      </c>
      <c r="B22" s="191"/>
      <c r="C22" s="191">
        <v>0</v>
      </c>
      <c r="D22" s="191">
        <v>0</v>
      </c>
      <c r="E22" s="191">
        <v>1360</v>
      </c>
      <c r="F22" s="180"/>
    </row>
    <row r="23" spans="1:6" ht="20.100000000000001" customHeight="1">
      <c r="A23" s="167" t="s">
        <v>523</v>
      </c>
      <c r="B23" s="191">
        <v>67483.27</v>
      </c>
      <c r="C23" s="191">
        <v>0</v>
      </c>
      <c r="D23" s="191">
        <v>67483.27</v>
      </c>
      <c r="E23" s="191">
        <v>115569.91</v>
      </c>
      <c r="F23" s="180">
        <v>1.7125712787776881</v>
      </c>
    </row>
    <row r="24" spans="1:6" ht="20.100000000000001" customHeight="1">
      <c r="A24" s="193" t="s">
        <v>524</v>
      </c>
      <c r="B24" s="191"/>
      <c r="C24" s="191">
        <v>0</v>
      </c>
      <c r="D24" s="191">
        <v>0</v>
      </c>
      <c r="E24" s="191">
        <v>0</v>
      </c>
      <c r="F24" s="180"/>
    </row>
    <row r="25" spans="1:6" ht="20.100000000000001" customHeight="1">
      <c r="A25" s="179" t="s">
        <v>525</v>
      </c>
      <c r="B25" s="191"/>
      <c r="C25" s="191">
        <v>0</v>
      </c>
      <c r="D25" s="191">
        <v>0</v>
      </c>
      <c r="E25" s="191">
        <v>350727060.82999998</v>
      </c>
      <c r="F25" s="180"/>
    </row>
    <row r="26" spans="1:6" s="198" customFormat="1" ht="20.100000000000001" customHeight="1">
      <c r="A26" s="201" t="s">
        <v>508</v>
      </c>
      <c r="B26" s="200">
        <v>109576327.16</v>
      </c>
      <c r="C26" s="200"/>
      <c r="D26" s="200">
        <v>109576327.16</v>
      </c>
      <c r="E26" s="200">
        <v>-131570742.86999989</v>
      </c>
      <c r="F26" s="178">
        <v>-1.2007223300876322</v>
      </c>
    </row>
    <row r="27" spans="1:6" s="198" customFormat="1" ht="20.100000000000001" customHeight="1">
      <c r="A27" s="201" t="s">
        <v>509</v>
      </c>
      <c r="B27" s="200">
        <v>647014212.28999996</v>
      </c>
      <c r="C27" s="200">
        <v>-99281130.099999994</v>
      </c>
      <c r="D27" s="200">
        <v>547733082.18999994</v>
      </c>
      <c r="E27" s="200">
        <v>306586012.16000009</v>
      </c>
      <c r="F27" s="178"/>
    </row>
    <row r="28" spans="1:6" ht="72.75" customHeight="1">
      <c r="A28" s="319" t="s">
        <v>538</v>
      </c>
      <c r="B28" s="320"/>
      <c r="C28" s="320"/>
      <c r="D28" s="320"/>
      <c r="E28" s="320"/>
      <c r="F28" s="321"/>
    </row>
    <row r="31" spans="1:6">
      <c r="C31" s="163"/>
      <c r="D31" s="163"/>
    </row>
  </sheetData>
  <mergeCells count="2">
    <mergeCell ref="A28:F28"/>
    <mergeCell ref="A2:F2"/>
  </mergeCells>
  <phoneticPr fontId="5" type="noConversion"/>
  <printOptions horizontalCentered="1"/>
  <pageMargins left="0.47244094488188981" right="0.47244094488188981" top="0.47244094488188981" bottom="0.39370078740157483" header="0.31496062992125984" footer="0.31496062992125984"/>
  <pageSetup paperSize="9" scale="81" fitToHeight="0" orientation="landscape" r:id="rId1"/>
  <headerFooter>
    <oddFooter>第 &amp;P 页，共 &amp;N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T25"/>
  <sheetViews>
    <sheetView workbookViewId="0">
      <selection activeCell="A2" sqref="A2:F2"/>
    </sheetView>
  </sheetViews>
  <sheetFormatPr defaultColWidth="8" defaultRowHeight="13.5"/>
  <cols>
    <col min="1" max="1" width="35.625" style="158" customWidth="1"/>
    <col min="2" max="5" width="25.625" style="164" customWidth="1"/>
    <col min="6" max="6" width="15.625" style="158" customWidth="1"/>
    <col min="7" max="254" width="8" style="159"/>
    <col min="255" max="255" width="0" style="159" hidden="1" customWidth="1"/>
    <col min="256" max="256" width="21.375" style="159" bestFit="1" customWidth="1"/>
    <col min="257" max="257" width="15.625" style="159" customWidth="1"/>
    <col min="258" max="258" width="29.75" style="159" customWidth="1"/>
    <col min="259" max="260" width="43.75" style="159" customWidth="1"/>
    <col min="261" max="261" width="23.5" style="159" bestFit="1" customWidth="1"/>
    <col min="262" max="262" width="21" style="159" customWidth="1"/>
    <col min="263" max="510" width="8" style="159"/>
    <col min="511" max="511" width="0" style="159" hidden="1" customWidth="1"/>
    <col min="512" max="512" width="21.375" style="159" bestFit="1" customWidth="1"/>
    <col min="513" max="513" width="15.625" style="159" customWidth="1"/>
    <col min="514" max="514" width="29.75" style="159" customWidth="1"/>
    <col min="515" max="516" width="43.75" style="159" customWidth="1"/>
    <col min="517" max="517" width="23.5" style="159" bestFit="1" customWidth="1"/>
    <col min="518" max="518" width="21" style="159" customWidth="1"/>
    <col min="519" max="766" width="8" style="159"/>
    <col min="767" max="767" width="0" style="159" hidden="1" customWidth="1"/>
    <col min="768" max="768" width="21.375" style="159" bestFit="1" customWidth="1"/>
    <col min="769" max="769" width="15.625" style="159" customWidth="1"/>
    <col min="770" max="770" width="29.75" style="159" customWidth="1"/>
    <col min="771" max="772" width="43.75" style="159" customWidth="1"/>
    <col min="773" max="773" width="23.5" style="159" bestFit="1" customWidth="1"/>
    <col min="774" max="774" width="21" style="159" customWidth="1"/>
    <col min="775" max="1022" width="8" style="159"/>
    <col min="1023" max="1023" width="0" style="159" hidden="1" customWidth="1"/>
    <col min="1024" max="1024" width="21.375" style="159" bestFit="1" customWidth="1"/>
    <col min="1025" max="1025" width="15.625" style="159" customWidth="1"/>
    <col min="1026" max="1026" width="29.75" style="159" customWidth="1"/>
    <col min="1027" max="1028" width="43.75" style="159" customWidth="1"/>
    <col min="1029" max="1029" width="23.5" style="159" bestFit="1" customWidth="1"/>
    <col min="1030" max="1030" width="21" style="159" customWidth="1"/>
    <col min="1031" max="1278" width="8" style="159"/>
    <col min="1279" max="1279" width="0" style="159" hidden="1" customWidth="1"/>
    <col min="1280" max="1280" width="21.375" style="159" bestFit="1" customWidth="1"/>
    <col min="1281" max="1281" width="15.625" style="159" customWidth="1"/>
    <col min="1282" max="1282" width="29.75" style="159" customWidth="1"/>
    <col min="1283" max="1284" width="43.75" style="159" customWidth="1"/>
    <col min="1285" max="1285" width="23.5" style="159" bestFit="1" customWidth="1"/>
    <col min="1286" max="1286" width="21" style="159" customWidth="1"/>
    <col min="1287" max="1534" width="8" style="159"/>
    <col min="1535" max="1535" width="0" style="159" hidden="1" customWidth="1"/>
    <col min="1536" max="1536" width="21.375" style="159" bestFit="1" customWidth="1"/>
    <col min="1537" max="1537" width="15.625" style="159" customWidth="1"/>
    <col min="1538" max="1538" width="29.75" style="159" customWidth="1"/>
    <col min="1539" max="1540" width="43.75" style="159" customWidth="1"/>
    <col min="1541" max="1541" width="23.5" style="159" bestFit="1" customWidth="1"/>
    <col min="1542" max="1542" width="21" style="159" customWidth="1"/>
    <col min="1543" max="1790" width="8" style="159"/>
    <col min="1791" max="1791" width="0" style="159" hidden="1" customWidth="1"/>
    <col min="1792" max="1792" width="21.375" style="159" bestFit="1" customWidth="1"/>
    <col min="1793" max="1793" width="15.625" style="159" customWidth="1"/>
    <col min="1794" max="1794" width="29.75" style="159" customWidth="1"/>
    <col min="1795" max="1796" width="43.75" style="159" customWidth="1"/>
    <col min="1797" max="1797" width="23.5" style="159" bestFit="1" customWidth="1"/>
    <col min="1798" max="1798" width="21" style="159" customWidth="1"/>
    <col min="1799" max="2046" width="8" style="159"/>
    <col min="2047" max="2047" width="0" style="159" hidden="1" customWidth="1"/>
    <col min="2048" max="2048" width="21.375" style="159" bestFit="1" customWidth="1"/>
    <col min="2049" max="2049" width="15.625" style="159" customWidth="1"/>
    <col min="2050" max="2050" width="29.75" style="159" customWidth="1"/>
    <col min="2051" max="2052" width="43.75" style="159" customWidth="1"/>
    <col min="2053" max="2053" width="23.5" style="159" bestFit="1" customWidth="1"/>
    <col min="2054" max="2054" width="21" style="159" customWidth="1"/>
    <col min="2055" max="2302" width="8" style="159"/>
    <col min="2303" max="2303" width="0" style="159" hidden="1" customWidth="1"/>
    <col min="2304" max="2304" width="21.375" style="159" bestFit="1" customWidth="1"/>
    <col min="2305" max="2305" width="15.625" style="159" customWidth="1"/>
    <col min="2306" max="2306" width="29.75" style="159" customWidth="1"/>
    <col min="2307" max="2308" width="43.75" style="159" customWidth="1"/>
    <col min="2309" max="2309" width="23.5" style="159" bestFit="1" customWidth="1"/>
    <col min="2310" max="2310" width="21" style="159" customWidth="1"/>
    <col min="2311" max="2558" width="8" style="159"/>
    <col min="2559" max="2559" width="0" style="159" hidden="1" customWidth="1"/>
    <col min="2560" max="2560" width="21.375" style="159" bestFit="1" customWidth="1"/>
    <col min="2561" max="2561" width="15.625" style="159" customWidth="1"/>
    <col min="2562" max="2562" width="29.75" style="159" customWidth="1"/>
    <col min="2563" max="2564" width="43.75" style="159" customWidth="1"/>
    <col min="2565" max="2565" width="23.5" style="159" bestFit="1" customWidth="1"/>
    <col min="2566" max="2566" width="21" style="159" customWidth="1"/>
    <col min="2567" max="2814" width="8" style="159"/>
    <col min="2815" max="2815" width="0" style="159" hidden="1" customWidth="1"/>
    <col min="2816" max="2816" width="21.375" style="159" bestFit="1" customWidth="1"/>
    <col min="2817" max="2817" width="15.625" style="159" customWidth="1"/>
    <col min="2818" max="2818" width="29.75" style="159" customWidth="1"/>
    <col min="2819" max="2820" width="43.75" style="159" customWidth="1"/>
    <col min="2821" max="2821" width="23.5" style="159" bestFit="1" customWidth="1"/>
    <col min="2822" max="2822" width="21" style="159" customWidth="1"/>
    <col min="2823" max="3070" width="8" style="159"/>
    <col min="3071" max="3071" width="0" style="159" hidden="1" customWidth="1"/>
    <col min="3072" max="3072" width="21.375" style="159" bestFit="1" customWidth="1"/>
    <col min="3073" max="3073" width="15.625" style="159" customWidth="1"/>
    <col min="3074" max="3074" width="29.75" style="159" customWidth="1"/>
    <col min="3075" max="3076" width="43.75" style="159" customWidth="1"/>
    <col min="3077" max="3077" width="23.5" style="159" bestFit="1" customWidth="1"/>
    <col min="3078" max="3078" width="21" style="159" customWidth="1"/>
    <col min="3079" max="3326" width="8" style="159"/>
    <col min="3327" max="3327" width="0" style="159" hidden="1" customWidth="1"/>
    <col min="3328" max="3328" width="21.375" style="159" bestFit="1" customWidth="1"/>
    <col min="3329" max="3329" width="15.625" style="159" customWidth="1"/>
    <col min="3330" max="3330" width="29.75" style="159" customWidth="1"/>
    <col min="3331" max="3332" width="43.75" style="159" customWidth="1"/>
    <col min="3333" max="3333" width="23.5" style="159" bestFit="1" customWidth="1"/>
    <col min="3334" max="3334" width="21" style="159" customWidth="1"/>
    <col min="3335" max="3582" width="8" style="159"/>
    <col min="3583" max="3583" width="0" style="159" hidden="1" customWidth="1"/>
    <col min="3584" max="3584" width="21.375" style="159" bestFit="1" customWidth="1"/>
    <col min="3585" max="3585" width="15.625" style="159" customWidth="1"/>
    <col min="3586" max="3586" width="29.75" style="159" customWidth="1"/>
    <col min="3587" max="3588" width="43.75" style="159" customWidth="1"/>
    <col min="3589" max="3589" width="23.5" style="159" bestFit="1" customWidth="1"/>
    <col min="3590" max="3590" width="21" style="159" customWidth="1"/>
    <col min="3591" max="3838" width="8" style="159"/>
    <col min="3839" max="3839" width="0" style="159" hidden="1" customWidth="1"/>
    <col min="3840" max="3840" width="21.375" style="159" bestFit="1" customWidth="1"/>
    <col min="3841" max="3841" width="15.625" style="159" customWidth="1"/>
    <col min="3842" max="3842" width="29.75" style="159" customWidth="1"/>
    <col min="3843" max="3844" width="43.75" style="159" customWidth="1"/>
    <col min="3845" max="3845" width="23.5" style="159" bestFit="1" customWidth="1"/>
    <col min="3846" max="3846" width="21" style="159" customWidth="1"/>
    <col min="3847" max="4094" width="8" style="159"/>
    <col min="4095" max="4095" width="0" style="159" hidden="1" customWidth="1"/>
    <col min="4096" max="4096" width="21.375" style="159" bestFit="1" customWidth="1"/>
    <col min="4097" max="4097" width="15.625" style="159" customWidth="1"/>
    <col min="4098" max="4098" width="29.75" style="159" customWidth="1"/>
    <col min="4099" max="4100" width="43.75" style="159" customWidth="1"/>
    <col min="4101" max="4101" width="23.5" style="159" bestFit="1" customWidth="1"/>
    <col min="4102" max="4102" width="21" style="159" customWidth="1"/>
    <col min="4103" max="4350" width="8" style="159"/>
    <col min="4351" max="4351" width="0" style="159" hidden="1" customWidth="1"/>
    <col min="4352" max="4352" width="21.375" style="159" bestFit="1" customWidth="1"/>
    <col min="4353" max="4353" width="15.625" style="159" customWidth="1"/>
    <col min="4354" max="4354" width="29.75" style="159" customWidth="1"/>
    <col min="4355" max="4356" width="43.75" style="159" customWidth="1"/>
    <col min="4357" max="4357" width="23.5" style="159" bestFit="1" customWidth="1"/>
    <col min="4358" max="4358" width="21" style="159" customWidth="1"/>
    <col min="4359" max="4606" width="8" style="159"/>
    <col min="4607" max="4607" width="0" style="159" hidden="1" customWidth="1"/>
    <col min="4608" max="4608" width="21.375" style="159" bestFit="1" customWidth="1"/>
    <col min="4609" max="4609" width="15.625" style="159" customWidth="1"/>
    <col min="4610" max="4610" width="29.75" style="159" customWidth="1"/>
    <col min="4611" max="4612" width="43.75" style="159" customWidth="1"/>
    <col min="4613" max="4613" width="23.5" style="159" bestFit="1" customWidth="1"/>
    <col min="4614" max="4614" width="21" style="159" customWidth="1"/>
    <col min="4615" max="4862" width="8" style="159"/>
    <col min="4863" max="4863" width="0" style="159" hidden="1" customWidth="1"/>
    <col min="4864" max="4864" width="21.375" style="159" bestFit="1" customWidth="1"/>
    <col min="4865" max="4865" width="15.625" style="159" customWidth="1"/>
    <col min="4866" max="4866" width="29.75" style="159" customWidth="1"/>
    <col min="4867" max="4868" width="43.75" style="159" customWidth="1"/>
    <col min="4869" max="4869" width="23.5" style="159" bestFit="1" customWidth="1"/>
    <col min="4870" max="4870" width="21" style="159" customWidth="1"/>
    <col min="4871" max="5118" width="8" style="159"/>
    <col min="5119" max="5119" width="0" style="159" hidden="1" customWidth="1"/>
    <col min="5120" max="5120" width="21.375" style="159" bestFit="1" customWidth="1"/>
    <col min="5121" max="5121" width="15.625" style="159" customWidth="1"/>
    <col min="5122" max="5122" width="29.75" style="159" customWidth="1"/>
    <col min="5123" max="5124" width="43.75" style="159" customWidth="1"/>
    <col min="5125" max="5125" width="23.5" style="159" bestFit="1" customWidth="1"/>
    <col min="5126" max="5126" width="21" style="159" customWidth="1"/>
    <col min="5127" max="5374" width="8" style="159"/>
    <col min="5375" max="5375" width="0" style="159" hidden="1" customWidth="1"/>
    <col min="5376" max="5376" width="21.375" style="159" bestFit="1" customWidth="1"/>
    <col min="5377" max="5377" width="15.625" style="159" customWidth="1"/>
    <col min="5378" max="5378" width="29.75" style="159" customWidth="1"/>
    <col min="5379" max="5380" width="43.75" style="159" customWidth="1"/>
    <col min="5381" max="5381" width="23.5" style="159" bestFit="1" customWidth="1"/>
    <col min="5382" max="5382" width="21" style="159" customWidth="1"/>
    <col min="5383" max="5630" width="8" style="159"/>
    <col min="5631" max="5631" width="0" style="159" hidden="1" customWidth="1"/>
    <col min="5632" max="5632" width="21.375" style="159" bestFit="1" customWidth="1"/>
    <col min="5633" max="5633" width="15.625" style="159" customWidth="1"/>
    <col min="5634" max="5634" width="29.75" style="159" customWidth="1"/>
    <col min="5635" max="5636" width="43.75" style="159" customWidth="1"/>
    <col min="5637" max="5637" width="23.5" style="159" bestFit="1" customWidth="1"/>
    <col min="5638" max="5638" width="21" style="159" customWidth="1"/>
    <col min="5639" max="5886" width="8" style="159"/>
    <col min="5887" max="5887" width="0" style="159" hidden="1" customWidth="1"/>
    <col min="5888" max="5888" width="21.375" style="159" bestFit="1" customWidth="1"/>
    <col min="5889" max="5889" width="15.625" style="159" customWidth="1"/>
    <col min="5890" max="5890" width="29.75" style="159" customWidth="1"/>
    <col min="5891" max="5892" width="43.75" style="159" customWidth="1"/>
    <col min="5893" max="5893" width="23.5" style="159" bestFit="1" customWidth="1"/>
    <col min="5894" max="5894" width="21" style="159" customWidth="1"/>
    <col min="5895" max="6142" width="8" style="159"/>
    <col min="6143" max="6143" width="0" style="159" hidden="1" customWidth="1"/>
    <col min="6144" max="6144" width="21.375" style="159" bestFit="1" customWidth="1"/>
    <col min="6145" max="6145" width="15.625" style="159" customWidth="1"/>
    <col min="6146" max="6146" width="29.75" style="159" customWidth="1"/>
    <col min="6147" max="6148" width="43.75" style="159" customWidth="1"/>
    <col min="6149" max="6149" width="23.5" style="159" bestFit="1" customWidth="1"/>
    <col min="6150" max="6150" width="21" style="159" customWidth="1"/>
    <col min="6151" max="6398" width="8" style="159"/>
    <col min="6399" max="6399" width="0" style="159" hidden="1" customWidth="1"/>
    <col min="6400" max="6400" width="21.375" style="159" bestFit="1" customWidth="1"/>
    <col min="6401" max="6401" width="15.625" style="159" customWidth="1"/>
    <col min="6402" max="6402" width="29.75" style="159" customWidth="1"/>
    <col min="6403" max="6404" width="43.75" style="159" customWidth="1"/>
    <col min="6405" max="6405" width="23.5" style="159" bestFit="1" customWidth="1"/>
    <col min="6406" max="6406" width="21" style="159" customWidth="1"/>
    <col min="6407" max="6654" width="8" style="159"/>
    <col min="6655" max="6655" width="0" style="159" hidden="1" customWidth="1"/>
    <col min="6656" max="6656" width="21.375" style="159" bestFit="1" customWidth="1"/>
    <col min="6657" max="6657" width="15.625" style="159" customWidth="1"/>
    <col min="6658" max="6658" width="29.75" style="159" customWidth="1"/>
    <col min="6659" max="6660" width="43.75" style="159" customWidth="1"/>
    <col min="6661" max="6661" width="23.5" style="159" bestFit="1" customWidth="1"/>
    <col min="6662" max="6662" width="21" style="159" customWidth="1"/>
    <col min="6663" max="6910" width="8" style="159"/>
    <col min="6911" max="6911" width="0" style="159" hidden="1" customWidth="1"/>
    <col min="6912" max="6912" width="21.375" style="159" bestFit="1" customWidth="1"/>
    <col min="6913" max="6913" width="15.625" style="159" customWidth="1"/>
    <col min="6914" max="6914" width="29.75" style="159" customWidth="1"/>
    <col min="6915" max="6916" width="43.75" style="159" customWidth="1"/>
    <col min="6917" max="6917" width="23.5" style="159" bestFit="1" customWidth="1"/>
    <col min="6918" max="6918" width="21" style="159" customWidth="1"/>
    <col min="6919" max="7166" width="8" style="159"/>
    <col min="7167" max="7167" width="0" style="159" hidden="1" customWidth="1"/>
    <col min="7168" max="7168" width="21.375" style="159" bestFit="1" customWidth="1"/>
    <col min="7169" max="7169" width="15.625" style="159" customWidth="1"/>
    <col min="7170" max="7170" width="29.75" style="159" customWidth="1"/>
    <col min="7171" max="7172" width="43.75" style="159" customWidth="1"/>
    <col min="7173" max="7173" width="23.5" style="159" bestFit="1" customWidth="1"/>
    <col min="7174" max="7174" width="21" style="159" customWidth="1"/>
    <col min="7175" max="7422" width="8" style="159"/>
    <col min="7423" max="7423" width="0" style="159" hidden="1" customWidth="1"/>
    <col min="7424" max="7424" width="21.375" style="159" bestFit="1" customWidth="1"/>
    <col min="7425" max="7425" width="15.625" style="159" customWidth="1"/>
    <col min="7426" max="7426" width="29.75" style="159" customWidth="1"/>
    <col min="7427" max="7428" width="43.75" style="159" customWidth="1"/>
    <col min="7429" max="7429" width="23.5" style="159" bestFit="1" customWidth="1"/>
    <col min="7430" max="7430" width="21" style="159" customWidth="1"/>
    <col min="7431" max="7678" width="8" style="159"/>
    <col min="7679" max="7679" width="0" style="159" hidden="1" customWidth="1"/>
    <col min="7680" max="7680" width="21.375" style="159" bestFit="1" customWidth="1"/>
    <col min="7681" max="7681" width="15.625" style="159" customWidth="1"/>
    <col min="7682" max="7682" width="29.75" style="159" customWidth="1"/>
    <col min="7683" max="7684" width="43.75" style="159" customWidth="1"/>
    <col min="7685" max="7685" width="23.5" style="159" bestFit="1" customWidth="1"/>
    <col min="7686" max="7686" width="21" style="159" customWidth="1"/>
    <col min="7687" max="7934" width="8" style="159"/>
    <col min="7935" max="7935" width="0" style="159" hidden="1" customWidth="1"/>
    <col min="7936" max="7936" width="21.375" style="159" bestFit="1" customWidth="1"/>
    <col min="7937" max="7937" width="15.625" style="159" customWidth="1"/>
    <col min="7938" max="7938" width="29.75" style="159" customWidth="1"/>
    <col min="7939" max="7940" width="43.75" style="159" customWidth="1"/>
    <col min="7941" max="7941" width="23.5" style="159" bestFit="1" customWidth="1"/>
    <col min="7942" max="7942" width="21" style="159" customWidth="1"/>
    <col min="7943" max="8190" width="8" style="159"/>
    <col min="8191" max="8191" width="0" style="159" hidden="1" customWidth="1"/>
    <col min="8192" max="8192" width="21.375" style="159" bestFit="1" customWidth="1"/>
    <col min="8193" max="8193" width="15.625" style="159" customWidth="1"/>
    <col min="8194" max="8194" width="29.75" style="159" customWidth="1"/>
    <col min="8195" max="8196" width="43.75" style="159" customWidth="1"/>
    <col min="8197" max="8197" width="23.5" style="159" bestFit="1" customWidth="1"/>
    <col min="8198" max="8198" width="21" style="159" customWidth="1"/>
    <col min="8199" max="8446" width="8" style="159"/>
    <col min="8447" max="8447" width="0" style="159" hidden="1" customWidth="1"/>
    <col min="8448" max="8448" width="21.375" style="159" bestFit="1" customWidth="1"/>
    <col min="8449" max="8449" width="15.625" style="159" customWidth="1"/>
    <col min="8450" max="8450" width="29.75" style="159" customWidth="1"/>
    <col min="8451" max="8452" width="43.75" style="159" customWidth="1"/>
    <col min="8453" max="8453" width="23.5" style="159" bestFit="1" customWidth="1"/>
    <col min="8454" max="8454" width="21" style="159" customWidth="1"/>
    <col min="8455" max="8702" width="8" style="159"/>
    <col min="8703" max="8703" width="0" style="159" hidden="1" customWidth="1"/>
    <col min="8704" max="8704" width="21.375" style="159" bestFit="1" customWidth="1"/>
    <col min="8705" max="8705" width="15.625" style="159" customWidth="1"/>
    <col min="8706" max="8706" width="29.75" style="159" customWidth="1"/>
    <col min="8707" max="8708" width="43.75" style="159" customWidth="1"/>
    <col min="8709" max="8709" width="23.5" style="159" bestFit="1" customWidth="1"/>
    <col min="8710" max="8710" width="21" style="159" customWidth="1"/>
    <col min="8711" max="8958" width="8" style="159"/>
    <col min="8959" max="8959" width="0" style="159" hidden="1" customWidth="1"/>
    <col min="8960" max="8960" width="21.375" style="159" bestFit="1" customWidth="1"/>
    <col min="8961" max="8961" width="15.625" style="159" customWidth="1"/>
    <col min="8962" max="8962" width="29.75" style="159" customWidth="1"/>
    <col min="8963" max="8964" width="43.75" style="159" customWidth="1"/>
    <col min="8965" max="8965" width="23.5" style="159" bestFit="1" customWidth="1"/>
    <col min="8966" max="8966" width="21" style="159" customWidth="1"/>
    <col min="8967" max="9214" width="8" style="159"/>
    <col min="9215" max="9215" width="0" style="159" hidden="1" customWidth="1"/>
    <col min="9216" max="9216" width="21.375" style="159" bestFit="1" customWidth="1"/>
    <col min="9217" max="9217" width="15.625" style="159" customWidth="1"/>
    <col min="9218" max="9218" width="29.75" style="159" customWidth="1"/>
    <col min="9219" max="9220" width="43.75" style="159" customWidth="1"/>
    <col min="9221" max="9221" width="23.5" style="159" bestFit="1" customWidth="1"/>
    <col min="9222" max="9222" width="21" style="159" customWidth="1"/>
    <col min="9223" max="9470" width="8" style="159"/>
    <col min="9471" max="9471" width="0" style="159" hidden="1" customWidth="1"/>
    <col min="9472" max="9472" width="21.375" style="159" bestFit="1" customWidth="1"/>
    <col min="9473" max="9473" width="15.625" style="159" customWidth="1"/>
    <col min="9474" max="9474" width="29.75" style="159" customWidth="1"/>
    <col min="9475" max="9476" width="43.75" style="159" customWidth="1"/>
    <col min="9477" max="9477" width="23.5" style="159" bestFit="1" customWidth="1"/>
    <col min="9478" max="9478" width="21" style="159" customWidth="1"/>
    <col min="9479" max="9726" width="8" style="159"/>
    <col min="9727" max="9727" width="0" style="159" hidden="1" customWidth="1"/>
    <col min="9728" max="9728" width="21.375" style="159" bestFit="1" customWidth="1"/>
    <col min="9729" max="9729" width="15.625" style="159" customWidth="1"/>
    <col min="9730" max="9730" width="29.75" style="159" customWidth="1"/>
    <col min="9731" max="9732" width="43.75" style="159" customWidth="1"/>
    <col min="9733" max="9733" width="23.5" style="159" bestFit="1" customWidth="1"/>
    <col min="9734" max="9734" width="21" style="159" customWidth="1"/>
    <col min="9735" max="9982" width="8" style="159"/>
    <col min="9983" max="9983" width="0" style="159" hidden="1" customWidth="1"/>
    <col min="9984" max="9984" width="21.375" style="159" bestFit="1" customWidth="1"/>
    <col min="9985" max="9985" width="15.625" style="159" customWidth="1"/>
    <col min="9986" max="9986" width="29.75" style="159" customWidth="1"/>
    <col min="9987" max="9988" width="43.75" style="159" customWidth="1"/>
    <col min="9989" max="9989" width="23.5" style="159" bestFit="1" customWidth="1"/>
    <col min="9990" max="9990" width="21" style="159" customWidth="1"/>
    <col min="9991" max="10238" width="8" style="159"/>
    <col min="10239" max="10239" width="0" style="159" hidden="1" customWidth="1"/>
    <col min="10240" max="10240" width="21.375" style="159" bestFit="1" customWidth="1"/>
    <col min="10241" max="10241" width="15.625" style="159" customWidth="1"/>
    <col min="10242" max="10242" width="29.75" style="159" customWidth="1"/>
    <col min="10243" max="10244" width="43.75" style="159" customWidth="1"/>
    <col min="10245" max="10245" width="23.5" style="159" bestFit="1" customWidth="1"/>
    <col min="10246" max="10246" width="21" style="159" customWidth="1"/>
    <col min="10247" max="10494" width="8" style="159"/>
    <col min="10495" max="10495" width="0" style="159" hidden="1" customWidth="1"/>
    <col min="10496" max="10496" width="21.375" style="159" bestFit="1" customWidth="1"/>
    <col min="10497" max="10497" width="15.625" style="159" customWidth="1"/>
    <col min="10498" max="10498" width="29.75" style="159" customWidth="1"/>
    <col min="10499" max="10500" width="43.75" style="159" customWidth="1"/>
    <col min="10501" max="10501" width="23.5" style="159" bestFit="1" customWidth="1"/>
    <col min="10502" max="10502" width="21" style="159" customWidth="1"/>
    <col min="10503" max="10750" width="8" style="159"/>
    <col min="10751" max="10751" width="0" style="159" hidden="1" customWidth="1"/>
    <col min="10752" max="10752" width="21.375" style="159" bestFit="1" customWidth="1"/>
    <col min="10753" max="10753" width="15.625" style="159" customWidth="1"/>
    <col min="10754" max="10754" width="29.75" style="159" customWidth="1"/>
    <col min="10755" max="10756" width="43.75" style="159" customWidth="1"/>
    <col min="10757" max="10757" width="23.5" style="159" bestFit="1" customWidth="1"/>
    <col min="10758" max="10758" width="21" style="159" customWidth="1"/>
    <col min="10759" max="11006" width="8" style="159"/>
    <col min="11007" max="11007" width="0" style="159" hidden="1" customWidth="1"/>
    <col min="11008" max="11008" width="21.375" style="159" bestFit="1" customWidth="1"/>
    <col min="11009" max="11009" width="15.625" style="159" customWidth="1"/>
    <col min="11010" max="11010" width="29.75" style="159" customWidth="1"/>
    <col min="11011" max="11012" width="43.75" style="159" customWidth="1"/>
    <col min="11013" max="11013" width="23.5" style="159" bestFit="1" customWidth="1"/>
    <col min="11014" max="11014" width="21" style="159" customWidth="1"/>
    <col min="11015" max="11262" width="8" style="159"/>
    <col min="11263" max="11263" width="0" style="159" hidden="1" customWidth="1"/>
    <col min="11264" max="11264" width="21.375" style="159" bestFit="1" customWidth="1"/>
    <col min="11265" max="11265" width="15.625" style="159" customWidth="1"/>
    <col min="11266" max="11266" width="29.75" style="159" customWidth="1"/>
    <col min="11267" max="11268" width="43.75" style="159" customWidth="1"/>
    <col min="11269" max="11269" width="23.5" style="159" bestFit="1" customWidth="1"/>
    <col min="11270" max="11270" width="21" style="159" customWidth="1"/>
    <col min="11271" max="11518" width="8" style="159"/>
    <col min="11519" max="11519" width="0" style="159" hidden="1" customWidth="1"/>
    <col min="11520" max="11520" width="21.375" style="159" bestFit="1" customWidth="1"/>
    <col min="11521" max="11521" width="15.625" style="159" customWidth="1"/>
    <col min="11522" max="11522" width="29.75" style="159" customWidth="1"/>
    <col min="11523" max="11524" width="43.75" style="159" customWidth="1"/>
    <col min="11525" max="11525" width="23.5" style="159" bestFit="1" customWidth="1"/>
    <col min="11526" max="11526" width="21" style="159" customWidth="1"/>
    <col min="11527" max="11774" width="8" style="159"/>
    <col min="11775" max="11775" width="0" style="159" hidden="1" customWidth="1"/>
    <col min="11776" max="11776" width="21.375" style="159" bestFit="1" customWidth="1"/>
    <col min="11777" max="11777" width="15.625" style="159" customWidth="1"/>
    <col min="11778" max="11778" width="29.75" style="159" customWidth="1"/>
    <col min="11779" max="11780" width="43.75" style="159" customWidth="1"/>
    <col min="11781" max="11781" width="23.5" style="159" bestFit="1" customWidth="1"/>
    <col min="11782" max="11782" width="21" style="159" customWidth="1"/>
    <col min="11783" max="12030" width="8" style="159"/>
    <col min="12031" max="12031" width="0" style="159" hidden="1" customWidth="1"/>
    <col min="12032" max="12032" width="21.375" style="159" bestFit="1" customWidth="1"/>
    <col min="12033" max="12033" width="15.625" style="159" customWidth="1"/>
    <col min="12034" max="12034" width="29.75" style="159" customWidth="1"/>
    <col min="12035" max="12036" width="43.75" style="159" customWidth="1"/>
    <col min="12037" max="12037" width="23.5" style="159" bestFit="1" customWidth="1"/>
    <col min="12038" max="12038" width="21" style="159" customWidth="1"/>
    <col min="12039" max="12286" width="8" style="159"/>
    <col min="12287" max="12287" width="0" style="159" hidden="1" customWidth="1"/>
    <col min="12288" max="12288" width="21.375" style="159" bestFit="1" customWidth="1"/>
    <col min="12289" max="12289" width="15.625" style="159" customWidth="1"/>
    <col min="12290" max="12290" width="29.75" style="159" customWidth="1"/>
    <col min="12291" max="12292" width="43.75" style="159" customWidth="1"/>
    <col min="12293" max="12293" width="23.5" style="159" bestFit="1" customWidth="1"/>
    <col min="12294" max="12294" width="21" style="159" customWidth="1"/>
    <col min="12295" max="12542" width="8" style="159"/>
    <col min="12543" max="12543" width="0" style="159" hidden="1" customWidth="1"/>
    <col min="12544" max="12544" width="21.375" style="159" bestFit="1" customWidth="1"/>
    <col min="12545" max="12545" width="15.625" style="159" customWidth="1"/>
    <col min="12546" max="12546" width="29.75" style="159" customWidth="1"/>
    <col min="12547" max="12548" width="43.75" style="159" customWidth="1"/>
    <col min="12549" max="12549" width="23.5" style="159" bestFit="1" customWidth="1"/>
    <col min="12550" max="12550" width="21" style="159" customWidth="1"/>
    <col min="12551" max="12798" width="8" style="159"/>
    <col min="12799" max="12799" width="0" style="159" hidden="1" customWidth="1"/>
    <col min="12800" max="12800" width="21.375" style="159" bestFit="1" customWidth="1"/>
    <col min="12801" max="12801" width="15.625" style="159" customWidth="1"/>
    <col min="12802" max="12802" width="29.75" style="159" customWidth="1"/>
    <col min="12803" max="12804" width="43.75" style="159" customWidth="1"/>
    <col min="12805" max="12805" width="23.5" style="159" bestFit="1" customWidth="1"/>
    <col min="12806" max="12806" width="21" style="159" customWidth="1"/>
    <col min="12807" max="13054" width="8" style="159"/>
    <col min="13055" max="13055" width="0" style="159" hidden="1" customWidth="1"/>
    <col min="13056" max="13056" width="21.375" style="159" bestFit="1" customWidth="1"/>
    <col min="13057" max="13057" width="15.625" style="159" customWidth="1"/>
    <col min="13058" max="13058" width="29.75" style="159" customWidth="1"/>
    <col min="13059" max="13060" width="43.75" style="159" customWidth="1"/>
    <col min="13061" max="13061" width="23.5" style="159" bestFit="1" customWidth="1"/>
    <col min="13062" max="13062" width="21" style="159" customWidth="1"/>
    <col min="13063" max="13310" width="8" style="159"/>
    <col min="13311" max="13311" width="0" style="159" hidden="1" customWidth="1"/>
    <col min="13312" max="13312" width="21.375" style="159" bestFit="1" customWidth="1"/>
    <col min="13313" max="13313" width="15.625" style="159" customWidth="1"/>
    <col min="13314" max="13314" width="29.75" style="159" customWidth="1"/>
    <col min="13315" max="13316" width="43.75" style="159" customWidth="1"/>
    <col min="13317" max="13317" width="23.5" style="159" bestFit="1" customWidth="1"/>
    <col min="13318" max="13318" width="21" style="159" customWidth="1"/>
    <col min="13319" max="13566" width="8" style="159"/>
    <col min="13567" max="13567" width="0" style="159" hidden="1" customWidth="1"/>
    <col min="13568" max="13568" width="21.375" style="159" bestFit="1" customWidth="1"/>
    <col min="13569" max="13569" width="15.625" style="159" customWidth="1"/>
    <col min="13570" max="13570" width="29.75" style="159" customWidth="1"/>
    <col min="13571" max="13572" width="43.75" style="159" customWidth="1"/>
    <col min="13573" max="13573" width="23.5" style="159" bestFit="1" customWidth="1"/>
    <col min="13574" max="13574" width="21" style="159" customWidth="1"/>
    <col min="13575" max="13822" width="8" style="159"/>
    <col min="13823" max="13823" width="0" style="159" hidden="1" customWidth="1"/>
    <col min="13824" max="13824" width="21.375" style="159" bestFit="1" customWidth="1"/>
    <col min="13825" max="13825" width="15.625" style="159" customWidth="1"/>
    <col min="13826" max="13826" width="29.75" style="159" customWidth="1"/>
    <col min="13827" max="13828" width="43.75" style="159" customWidth="1"/>
    <col min="13829" max="13829" width="23.5" style="159" bestFit="1" customWidth="1"/>
    <col min="13830" max="13830" width="21" style="159" customWidth="1"/>
    <col min="13831" max="14078" width="8" style="159"/>
    <col min="14079" max="14079" width="0" style="159" hidden="1" customWidth="1"/>
    <col min="14080" max="14080" width="21.375" style="159" bestFit="1" customWidth="1"/>
    <col min="14081" max="14081" width="15.625" style="159" customWidth="1"/>
    <col min="14082" max="14082" width="29.75" style="159" customWidth="1"/>
    <col min="14083" max="14084" width="43.75" style="159" customWidth="1"/>
    <col min="14085" max="14085" width="23.5" style="159" bestFit="1" customWidth="1"/>
    <col min="14086" max="14086" width="21" style="159" customWidth="1"/>
    <col min="14087" max="14334" width="8" style="159"/>
    <col min="14335" max="14335" width="0" style="159" hidden="1" customWidth="1"/>
    <col min="14336" max="14336" width="21.375" style="159" bestFit="1" customWidth="1"/>
    <col min="14337" max="14337" width="15.625" style="159" customWidth="1"/>
    <col min="14338" max="14338" width="29.75" style="159" customWidth="1"/>
    <col min="14339" max="14340" width="43.75" style="159" customWidth="1"/>
    <col min="14341" max="14341" width="23.5" style="159" bestFit="1" customWidth="1"/>
    <col min="14342" max="14342" width="21" style="159" customWidth="1"/>
    <col min="14343" max="14590" width="8" style="159"/>
    <col min="14591" max="14591" width="0" style="159" hidden="1" customWidth="1"/>
    <col min="14592" max="14592" width="21.375" style="159" bestFit="1" customWidth="1"/>
    <col min="14593" max="14593" width="15.625" style="159" customWidth="1"/>
    <col min="14594" max="14594" width="29.75" style="159" customWidth="1"/>
    <col min="14595" max="14596" width="43.75" style="159" customWidth="1"/>
    <col min="14597" max="14597" width="23.5" style="159" bestFit="1" customWidth="1"/>
    <col min="14598" max="14598" width="21" style="159" customWidth="1"/>
    <col min="14599" max="14846" width="8" style="159"/>
    <col min="14847" max="14847" width="0" style="159" hidden="1" customWidth="1"/>
    <col min="14848" max="14848" width="21.375" style="159" bestFit="1" customWidth="1"/>
    <col min="14849" max="14849" width="15.625" style="159" customWidth="1"/>
    <col min="14850" max="14850" width="29.75" style="159" customWidth="1"/>
    <col min="14851" max="14852" width="43.75" style="159" customWidth="1"/>
    <col min="14853" max="14853" width="23.5" style="159" bestFit="1" customWidth="1"/>
    <col min="14854" max="14854" width="21" style="159" customWidth="1"/>
    <col min="14855" max="15102" width="8" style="159"/>
    <col min="15103" max="15103" width="0" style="159" hidden="1" customWidth="1"/>
    <col min="15104" max="15104" width="21.375" style="159" bestFit="1" customWidth="1"/>
    <col min="15105" max="15105" width="15.625" style="159" customWidth="1"/>
    <col min="15106" max="15106" width="29.75" style="159" customWidth="1"/>
    <col min="15107" max="15108" width="43.75" style="159" customWidth="1"/>
    <col min="15109" max="15109" width="23.5" style="159" bestFit="1" customWidth="1"/>
    <col min="15110" max="15110" width="21" style="159" customWidth="1"/>
    <col min="15111" max="15358" width="8" style="159"/>
    <col min="15359" max="15359" width="0" style="159" hidden="1" customWidth="1"/>
    <col min="15360" max="15360" width="21.375" style="159" bestFit="1" customWidth="1"/>
    <col min="15361" max="15361" width="15.625" style="159" customWidth="1"/>
    <col min="15362" max="15362" width="29.75" style="159" customWidth="1"/>
    <col min="15363" max="15364" width="43.75" style="159" customWidth="1"/>
    <col min="15365" max="15365" width="23.5" style="159" bestFit="1" customWidth="1"/>
    <col min="15366" max="15366" width="21" style="159" customWidth="1"/>
    <col min="15367" max="15614" width="8" style="159"/>
    <col min="15615" max="15615" width="0" style="159" hidden="1" customWidth="1"/>
    <col min="15616" max="15616" width="21.375" style="159" bestFit="1" customWidth="1"/>
    <col min="15617" max="15617" width="15.625" style="159" customWidth="1"/>
    <col min="15618" max="15618" width="29.75" style="159" customWidth="1"/>
    <col min="15619" max="15620" width="43.75" style="159" customWidth="1"/>
    <col min="15621" max="15621" width="23.5" style="159" bestFit="1" customWidth="1"/>
    <col min="15622" max="15622" width="21" style="159" customWidth="1"/>
    <col min="15623" max="15870" width="8" style="159"/>
    <col min="15871" max="15871" width="0" style="159" hidden="1" customWidth="1"/>
    <col min="15872" max="15872" width="21.375" style="159" bestFit="1" customWidth="1"/>
    <col min="15873" max="15873" width="15.625" style="159" customWidth="1"/>
    <col min="15874" max="15874" width="29.75" style="159" customWidth="1"/>
    <col min="15875" max="15876" width="43.75" style="159" customWidth="1"/>
    <col min="15877" max="15877" width="23.5" style="159" bestFit="1" customWidth="1"/>
    <col min="15878" max="15878" width="21" style="159" customWidth="1"/>
    <col min="15879" max="16126" width="8" style="159"/>
    <col min="16127" max="16127" width="0" style="159" hidden="1" customWidth="1"/>
    <col min="16128" max="16128" width="21.375" style="159" bestFit="1" customWidth="1"/>
    <col min="16129" max="16129" width="15.625" style="159" customWidth="1"/>
    <col min="16130" max="16130" width="29.75" style="159" customWidth="1"/>
    <col min="16131" max="16132" width="43.75" style="159" customWidth="1"/>
    <col min="16133" max="16133" width="23.5" style="159" bestFit="1" customWidth="1"/>
    <col min="16134" max="16134" width="21" style="159" customWidth="1"/>
    <col min="16135" max="16384" width="8" style="159"/>
  </cols>
  <sheetData>
    <row r="1" spans="1:254" ht="20.100000000000001" customHeight="1">
      <c r="A1" s="177" t="s">
        <v>590</v>
      </c>
      <c r="B1" s="209"/>
      <c r="C1" s="209"/>
      <c r="D1" s="209"/>
      <c r="E1" s="209"/>
      <c r="F1" s="208"/>
    </row>
    <row r="2" spans="1:254" ht="35.1" customHeight="1">
      <c r="A2" s="322" t="s">
        <v>596</v>
      </c>
      <c r="B2" s="326"/>
      <c r="C2" s="326"/>
      <c r="D2" s="326"/>
      <c r="E2" s="326"/>
      <c r="F2" s="322"/>
    </row>
    <row r="3" spans="1:254" ht="20.100000000000001" customHeight="1">
      <c r="A3" s="202"/>
      <c r="B3" s="203"/>
      <c r="C3" s="203"/>
      <c r="D3" s="203"/>
      <c r="E3" s="204"/>
      <c r="F3" s="205" t="s">
        <v>487</v>
      </c>
    </row>
    <row r="4" spans="1:254" s="214" customFormat="1" ht="35.1" customHeight="1">
      <c r="A4" s="210" t="s">
        <v>488</v>
      </c>
      <c r="B4" s="211" t="s">
        <v>535</v>
      </c>
      <c r="C4" s="212" t="s">
        <v>489</v>
      </c>
      <c r="D4" s="211" t="s">
        <v>539</v>
      </c>
      <c r="E4" s="212" t="s">
        <v>491</v>
      </c>
      <c r="F4" s="213" t="s">
        <v>536</v>
      </c>
    </row>
    <row r="5" spans="1:254" s="217" customFormat="1" ht="18.95" customHeight="1">
      <c r="A5" s="215" t="s">
        <v>492</v>
      </c>
      <c r="B5" s="200">
        <v>365536878.64999998</v>
      </c>
      <c r="C5" s="200">
        <v>-93503642.090000004</v>
      </c>
      <c r="D5" s="200">
        <v>272033236.55999994</v>
      </c>
      <c r="E5" s="200">
        <v>272033236.56</v>
      </c>
      <c r="F5" s="178"/>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c r="EN5" s="216"/>
      <c r="EO5" s="216"/>
      <c r="EP5" s="216"/>
      <c r="EQ5" s="216"/>
      <c r="ER5" s="216"/>
      <c r="ES5" s="216"/>
      <c r="ET5" s="216"/>
      <c r="EU5" s="216"/>
      <c r="EV5" s="216"/>
      <c r="EW5" s="216"/>
      <c r="EX5" s="216"/>
      <c r="EY5" s="216"/>
      <c r="EZ5" s="216"/>
      <c r="FA5" s="216"/>
      <c r="FB5" s="216"/>
      <c r="FC5" s="216"/>
      <c r="FD5" s="216"/>
      <c r="FE5" s="216"/>
      <c r="FF5" s="216"/>
      <c r="FG5" s="216"/>
      <c r="FH5" s="216"/>
      <c r="FI5" s="216"/>
      <c r="FJ5" s="216"/>
      <c r="FK5" s="216"/>
      <c r="FL5" s="216"/>
      <c r="FM5" s="216"/>
      <c r="FN5" s="216"/>
      <c r="FO5" s="216"/>
      <c r="FP5" s="216"/>
      <c r="FQ5" s="216"/>
      <c r="FR5" s="216"/>
      <c r="FS5" s="216"/>
      <c r="FT5" s="216"/>
      <c r="FU5" s="216"/>
      <c r="FV5" s="216"/>
      <c r="FW5" s="216"/>
      <c r="FX5" s="216"/>
      <c r="FY5" s="216"/>
      <c r="FZ5" s="216"/>
      <c r="GA5" s="216"/>
      <c r="GB5" s="216"/>
      <c r="GC5" s="216"/>
      <c r="GD5" s="216"/>
      <c r="GE5" s="216"/>
      <c r="GF5" s="216"/>
      <c r="GG5" s="216"/>
      <c r="GH5" s="216"/>
      <c r="GI5" s="216"/>
      <c r="GJ5" s="216"/>
      <c r="GK5" s="216"/>
      <c r="GL5" s="216"/>
      <c r="GM5" s="216"/>
      <c r="GN5" s="216"/>
      <c r="GO5" s="216"/>
      <c r="GP5" s="216"/>
      <c r="GQ5" s="216"/>
      <c r="GR5" s="216"/>
      <c r="GS5" s="216"/>
      <c r="GT5" s="216"/>
      <c r="GU5" s="216"/>
      <c r="GV5" s="216"/>
      <c r="GW5" s="216"/>
      <c r="GX5" s="216"/>
      <c r="GY5" s="216"/>
      <c r="GZ5" s="216"/>
      <c r="HA5" s="216"/>
      <c r="HB5" s="216"/>
      <c r="HC5" s="216"/>
      <c r="HD5" s="216"/>
      <c r="HE5" s="216"/>
      <c r="HF5" s="216"/>
      <c r="HG5" s="216"/>
      <c r="HH5" s="216"/>
      <c r="HI5" s="216"/>
      <c r="HJ5" s="216"/>
      <c r="HK5" s="216"/>
      <c r="HL5" s="216"/>
      <c r="HM5" s="216"/>
      <c r="HN5" s="216"/>
      <c r="HO5" s="216"/>
      <c r="HP5" s="216"/>
      <c r="HQ5" s="216"/>
      <c r="HR5" s="216"/>
      <c r="HS5" s="216"/>
      <c r="HT5" s="216"/>
      <c r="HU5" s="216"/>
      <c r="HV5" s="216"/>
      <c r="HW5" s="216"/>
      <c r="HX5" s="216"/>
      <c r="HY5" s="216"/>
      <c r="HZ5" s="216"/>
      <c r="IA5" s="216"/>
      <c r="IB5" s="216"/>
      <c r="IC5" s="216"/>
      <c r="ID5" s="216"/>
      <c r="IE5" s="216"/>
      <c r="IF5" s="216"/>
      <c r="IG5" s="216"/>
      <c r="IH5" s="216"/>
      <c r="II5" s="216"/>
      <c r="IJ5" s="216"/>
      <c r="IK5" s="216"/>
      <c r="IL5" s="216"/>
      <c r="IM5" s="216"/>
      <c r="IN5" s="216"/>
      <c r="IO5" s="216"/>
      <c r="IP5" s="216"/>
      <c r="IQ5" s="216"/>
      <c r="IR5" s="216"/>
      <c r="IS5" s="216"/>
      <c r="IT5" s="216"/>
    </row>
    <row r="6" spans="1:254" s="221" customFormat="1" ht="18.95" customHeight="1">
      <c r="A6" s="218" t="s">
        <v>493</v>
      </c>
      <c r="B6" s="219">
        <v>371155230.27999997</v>
      </c>
      <c r="C6" s="219">
        <v>3490000</v>
      </c>
      <c r="D6" s="200">
        <v>374645230.27999997</v>
      </c>
      <c r="E6" s="220">
        <v>850054342.69999993</v>
      </c>
      <c r="F6" s="228">
        <v>2.2689581342452745</v>
      </c>
    </row>
    <row r="7" spans="1:254" s="165" customFormat="1" ht="18.95" customHeight="1">
      <c r="A7" s="206" t="s">
        <v>510</v>
      </c>
      <c r="B7" s="191">
        <v>371155230.27999997</v>
      </c>
      <c r="C7" s="191"/>
      <c r="D7" s="191">
        <v>371155230.27999997</v>
      </c>
      <c r="E7" s="207">
        <v>846624342.69999993</v>
      </c>
      <c r="F7" s="180">
        <v>2.2810518985851429</v>
      </c>
    </row>
    <row r="8" spans="1:254" s="165" customFormat="1" ht="18.95" customHeight="1">
      <c r="A8" s="206" t="s">
        <v>526</v>
      </c>
      <c r="B8" s="191">
        <v>369817087.52999997</v>
      </c>
      <c r="C8" s="191"/>
      <c r="D8" s="191">
        <v>369817087.52999997</v>
      </c>
      <c r="E8" s="207">
        <v>842286981.99000001</v>
      </c>
      <c r="F8" s="180">
        <v>2.2775772412670703</v>
      </c>
    </row>
    <row r="9" spans="1:254" s="165" customFormat="1" ht="18.95" customHeight="1">
      <c r="A9" s="206" t="s">
        <v>527</v>
      </c>
      <c r="B9" s="191">
        <v>1338142.75</v>
      </c>
      <c r="C9" s="191"/>
      <c r="D9" s="191">
        <v>1338142.75</v>
      </c>
      <c r="E9" s="207">
        <v>1972723.53</v>
      </c>
      <c r="F9" s="180">
        <v>1.4742250256932603</v>
      </c>
    </row>
    <row r="10" spans="1:254" s="165" customFormat="1" ht="18.95" customHeight="1">
      <c r="A10" s="206" t="s">
        <v>528</v>
      </c>
      <c r="B10" s="191"/>
      <c r="C10" s="191"/>
      <c r="D10" s="191">
        <v>0</v>
      </c>
      <c r="E10" s="207">
        <v>0</v>
      </c>
      <c r="F10" s="180"/>
    </row>
    <row r="11" spans="1:254" s="165" customFormat="1" ht="18.95" customHeight="1">
      <c r="A11" s="206" t="s">
        <v>529</v>
      </c>
      <c r="B11" s="191"/>
      <c r="C11" s="191"/>
      <c r="D11" s="191">
        <v>0</v>
      </c>
      <c r="E11" s="207">
        <v>0</v>
      </c>
      <c r="F11" s="180"/>
    </row>
    <row r="12" spans="1:254" s="165" customFormat="1" ht="18.95" customHeight="1">
      <c r="A12" s="206" t="s">
        <v>530</v>
      </c>
      <c r="B12" s="191"/>
      <c r="C12" s="191"/>
      <c r="D12" s="191">
        <v>0</v>
      </c>
      <c r="E12" s="207">
        <v>2.2599999999999998</v>
      </c>
      <c r="F12" s="180"/>
    </row>
    <row r="13" spans="1:254" s="165" customFormat="1" ht="18.95" customHeight="1">
      <c r="A13" s="206" t="s">
        <v>531</v>
      </c>
      <c r="B13" s="191"/>
      <c r="C13" s="191"/>
      <c r="D13" s="191">
        <v>0</v>
      </c>
      <c r="E13" s="207">
        <v>2364634.92</v>
      </c>
      <c r="F13" s="180"/>
    </row>
    <row r="14" spans="1:254" s="165" customFormat="1" ht="18.95" customHeight="1">
      <c r="A14" s="206" t="s">
        <v>501</v>
      </c>
      <c r="B14" s="191"/>
      <c r="C14" s="191">
        <v>3490000</v>
      </c>
      <c r="D14" s="191">
        <v>3490000</v>
      </c>
      <c r="E14" s="207">
        <v>3430000</v>
      </c>
      <c r="F14" s="180">
        <v>0.98280802292263614</v>
      </c>
    </row>
    <row r="15" spans="1:254" s="165" customFormat="1" ht="18.95" customHeight="1">
      <c r="A15" s="206" t="s">
        <v>502</v>
      </c>
      <c r="B15" s="191"/>
      <c r="C15" s="191"/>
      <c r="D15" s="191">
        <v>0</v>
      </c>
      <c r="E15" s="207">
        <v>0</v>
      </c>
      <c r="F15" s="180"/>
    </row>
    <row r="16" spans="1:254" s="221" customFormat="1" ht="18.95" customHeight="1">
      <c r="A16" s="222" t="s">
        <v>503</v>
      </c>
      <c r="B16" s="200">
        <v>354354345.24000001</v>
      </c>
      <c r="C16" s="200">
        <v>3461617.6499999799</v>
      </c>
      <c r="D16" s="200">
        <v>357815962.88999999</v>
      </c>
      <c r="E16" s="223">
        <v>971151166.28999996</v>
      </c>
      <c r="F16" s="178">
        <v>2.7141079968770199</v>
      </c>
    </row>
    <row r="17" spans="1:254" s="165" customFormat="1" ht="18.95" customHeight="1">
      <c r="A17" s="206" t="s">
        <v>518</v>
      </c>
      <c r="B17" s="191">
        <v>354354345.24000001</v>
      </c>
      <c r="C17" s="191"/>
      <c r="D17" s="191">
        <v>354354345.24000001</v>
      </c>
      <c r="E17" s="207">
        <v>967738913.00999999</v>
      </c>
      <c r="F17" s="180">
        <v>2.7309920874670293</v>
      </c>
    </row>
    <row r="18" spans="1:254" s="165" customFormat="1" ht="18.95" customHeight="1">
      <c r="A18" s="206" t="s">
        <v>532</v>
      </c>
      <c r="B18" s="191">
        <v>354354345.24000001</v>
      </c>
      <c r="C18" s="191"/>
      <c r="D18" s="191">
        <v>354354345.24000001</v>
      </c>
      <c r="E18" s="207">
        <v>967182198.09000003</v>
      </c>
      <c r="F18" s="180">
        <v>2.7294210190506876</v>
      </c>
    </row>
    <row r="19" spans="1:254" s="165" customFormat="1" ht="18.95" customHeight="1">
      <c r="A19" s="206" t="s">
        <v>533</v>
      </c>
      <c r="B19" s="191"/>
      <c r="C19" s="191"/>
      <c r="D19" s="191">
        <v>0</v>
      </c>
      <c r="E19" s="207">
        <v>0</v>
      </c>
      <c r="F19" s="180"/>
    </row>
    <row r="20" spans="1:254" s="165" customFormat="1" ht="18.95" customHeight="1">
      <c r="A20" s="206" t="s">
        <v>534</v>
      </c>
      <c r="B20" s="191"/>
      <c r="C20" s="191"/>
      <c r="D20" s="191">
        <v>0</v>
      </c>
      <c r="E20" s="207">
        <v>556714.92000000004</v>
      </c>
      <c r="F20" s="180"/>
    </row>
    <row r="21" spans="1:254" s="165" customFormat="1" ht="18.95" customHeight="1">
      <c r="A21" s="206" t="s">
        <v>524</v>
      </c>
      <c r="B21" s="191"/>
      <c r="C21" s="191"/>
      <c r="D21" s="191">
        <v>0</v>
      </c>
      <c r="E21" s="207">
        <v>0</v>
      </c>
      <c r="F21" s="180"/>
    </row>
    <row r="22" spans="1:254" s="165" customFormat="1" ht="18.95" customHeight="1">
      <c r="A22" s="206" t="s">
        <v>525</v>
      </c>
      <c r="B22" s="191">
        <v>0</v>
      </c>
      <c r="C22" s="191">
        <v>3461617.65</v>
      </c>
      <c r="D22" s="191">
        <v>3461617.65</v>
      </c>
      <c r="E22" s="207">
        <v>3412253.28</v>
      </c>
      <c r="F22" s="180">
        <v>0.98573950823251666</v>
      </c>
    </row>
    <row r="23" spans="1:254" s="221" customFormat="1" ht="18.95" customHeight="1">
      <c r="A23" s="224" t="s">
        <v>508</v>
      </c>
      <c r="B23" s="225">
        <v>16800885.039999999</v>
      </c>
      <c r="C23" s="225">
        <v>28382.3500000001</v>
      </c>
      <c r="D23" s="200">
        <v>16829267.390000001</v>
      </c>
      <c r="E23" s="226">
        <v>-121096823.59000003</v>
      </c>
      <c r="F23" s="229">
        <v>-7.1956087442021461</v>
      </c>
    </row>
    <row r="24" spans="1:254" s="217" customFormat="1" ht="18.95" customHeight="1">
      <c r="A24" s="222" t="s">
        <v>509</v>
      </c>
      <c r="B24" s="223">
        <v>382337763.69</v>
      </c>
      <c r="C24" s="223">
        <v>-93475259.739999995</v>
      </c>
      <c r="D24" s="223">
        <v>288862503.94999999</v>
      </c>
      <c r="E24" s="223">
        <v>150936412.96999997</v>
      </c>
      <c r="F24" s="178"/>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c r="CZ24" s="227"/>
      <c r="DA24" s="227"/>
      <c r="DB24" s="227"/>
      <c r="DC24" s="227"/>
      <c r="DD24" s="227"/>
      <c r="DE24" s="227"/>
      <c r="DF24" s="227"/>
      <c r="DG24" s="227"/>
      <c r="DH24" s="227"/>
      <c r="DI24" s="227"/>
      <c r="DJ24" s="227"/>
      <c r="DK24" s="227"/>
      <c r="DL24" s="227"/>
      <c r="DM24" s="227"/>
      <c r="DN24" s="227"/>
      <c r="DO24" s="227"/>
      <c r="DP24" s="227"/>
      <c r="DQ24" s="227"/>
      <c r="DR24" s="227"/>
      <c r="DS24" s="227"/>
      <c r="DT24" s="227"/>
      <c r="DU24" s="227"/>
      <c r="DV24" s="227"/>
      <c r="DW24" s="227"/>
      <c r="DX24" s="227"/>
      <c r="DY24" s="227"/>
      <c r="DZ24" s="227"/>
      <c r="EA24" s="227"/>
      <c r="EB24" s="227"/>
      <c r="EC24" s="227"/>
      <c r="ED24" s="227"/>
      <c r="EE24" s="227"/>
      <c r="EF24" s="227"/>
      <c r="EG24" s="227"/>
      <c r="EH24" s="227"/>
      <c r="EI24" s="227"/>
      <c r="EJ24" s="227"/>
      <c r="EK24" s="227"/>
      <c r="EL24" s="227"/>
      <c r="EM24" s="227"/>
      <c r="EN24" s="227"/>
      <c r="EO24" s="227"/>
      <c r="EP24" s="227"/>
      <c r="EQ24" s="227"/>
      <c r="ER24" s="227"/>
      <c r="ES24" s="227"/>
      <c r="ET24" s="227"/>
      <c r="EU24" s="227"/>
      <c r="EV24" s="227"/>
      <c r="EW24" s="227"/>
      <c r="EX24" s="227"/>
      <c r="EY24" s="227"/>
      <c r="EZ24" s="227"/>
      <c r="FA24" s="227"/>
      <c r="FB24" s="227"/>
      <c r="FC24" s="227"/>
      <c r="FD24" s="227"/>
      <c r="FE24" s="227"/>
      <c r="FF24" s="227"/>
      <c r="FG24" s="227"/>
      <c r="FH24" s="227"/>
      <c r="FI24" s="227"/>
      <c r="FJ24" s="227"/>
      <c r="FK24" s="227"/>
      <c r="FL24" s="227"/>
      <c r="FM24" s="227"/>
      <c r="FN24" s="227"/>
      <c r="FO24" s="227"/>
      <c r="FP24" s="227"/>
      <c r="FQ24" s="227"/>
      <c r="FR24" s="227"/>
      <c r="FS24" s="227"/>
      <c r="FT24" s="227"/>
      <c r="FU24" s="227"/>
      <c r="FV24" s="227"/>
      <c r="FW24" s="227"/>
      <c r="FX24" s="227"/>
      <c r="FY24" s="227"/>
      <c r="FZ24" s="227"/>
      <c r="GA24" s="227"/>
      <c r="GB24" s="227"/>
      <c r="GC24" s="227"/>
      <c r="GD24" s="227"/>
      <c r="GE24" s="227"/>
      <c r="GF24" s="227"/>
      <c r="GG24" s="227"/>
      <c r="GH24" s="227"/>
      <c r="GI24" s="227"/>
      <c r="GJ24" s="227"/>
      <c r="GK24" s="227"/>
      <c r="GL24" s="227"/>
      <c r="GM24" s="227"/>
      <c r="GN24" s="227"/>
      <c r="GO24" s="227"/>
      <c r="GP24" s="227"/>
      <c r="GQ24" s="227"/>
      <c r="GR24" s="227"/>
      <c r="GS24" s="227"/>
      <c r="GT24" s="227"/>
      <c r="GU24" s="227"/>
      <c r="GV24" s="227"/>
      <c r="GW24" s="227"/>
      <c r="GX24" s="227"/>
      <c r="GY24" s="227"/>
      <c r="GZ24" s="227"/>
      <c r="HA24" s="227"/>
      <c r="HB24" s="227"/>
      <c r="HC24" s="227"/>
      <c r="HD24" s="227"/>
      <c r="HE24" s="227"/>
      <c r="HF24" s="227"/>
      <c r="HG24" s="227"/>
      <c r="HH24" s="227"/>
      <c r="HI24" s="227"/>
      <c r="HJ24" s="227"/>
      <c r="HK24" s="227"/>
      <c r="HL24" s="227"/>
      <c r="HM24" s="227"/>
      <c r="HN24" s="227"/>
      <c r="HO24" s="227"/>
      <c r="HP24" s="227"/>
      <c r="HQ24" s="227"/>
      <c r="HR24" s="227"/>
      <c r="HS24" s="227"/>
      <c r="HT24" s="227"/>
      <c r="HU24" s="227"/>
      <c r="HV24" s="227"/>
      <c r="HW24" s="227"/>
      <c r="HX24" s="227"/>
      <c r="HY24" s="227"/>
      <c r="HZ24" s="227"/>
      <c r="IA24" s="227"/>
      <c r="IB24" s="227"/>
      <c r="IC24" s="227"/>
      <c r="ID24" s="227"/>
      <c r="IE24" s="227"/>
      <c r="IF24" s="227"/>
      <c r="IG24" s="227"/>
      <c r="IH24" s="227"/>
      <c r="II24" s="227"/>
      <c r="IJ24" s="227"/>
      <c r="IK24" s="227"/>
      <c r="IL24" s="227"/>
      <c r="IM24" s="227"/>
      <c r="IN24" s="227"/>
      <c r="IO24" s="227"/>
      <c r="IP24" s="227"/>
      <c r="IQ24" s="227"/>
      <c r="IR24" s="227"/>
      <c r="IS24" s="227"/>
      <c r="IT24" s="227"/>
    </row>
    <row r="25" spans="1:254" ht="121.5" customHeight="1">
      <c r="A25" s="323" t="s">
        <v>540</v>
      </c>
      <c r="B25" s="324"/>
      <c r="C25" s="324"/>
      <c r="D25" s="324"/>
      <c r="E25" s="324"/>
      <c r="F25" s="325"/>
    </row>
  </sheetData>
  <mergeCells count="2">
    <mergeCell ref="A25:F25"/>
    <mergeCell ref="A2:F2"/>
  </mergeCells>
  <phoneticPr fontId="5" type="noConversion"/>
  <printOptions horizontalCentered="1"/>
  <pageMargins left="0.47244094488188981" right="0.47244094488188981" top="0.47244094488188981" bottom="0.39370078740157483" header="0.31496062992125984" footer="0.31496062992125984"/>
  <pageSetup paperSize="9" scale="83" fitToHeight="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U59"/>
  <sheetViews>
    <sheetView workbookViewId="0">
      <pane ySplit="5" topLeftCell="A18" activePane="bottomLeft" state="frozen"/>
      <selection activeCell="L8" sqref="L8"/>
      <selection pane="bottomLeft" activeCell="W21" sqref="W21"/>
    </sheetView>
  </sheetViews>
  <sheetFormatPr defaultRowHeight="14.25" customHeight="1"/>
  <cols>
    <col min="1" max="1" width="9.875" style="249" customWidth="1"/>
    <col min="2" max="2" width="22.75" style="248" customWidth="1"/>
    <col min="3" max="3" width="18.875" style="248" hidden="1" customWidth="1"/>
    <col min="4" max="4" width="27.625" style="248" customWidth="1"/>
    <col min="5" max="5" width="9.125" style="249" customWidth="1"/>
    <col min="6" max="6" width="24.75" style="248" hidden="1" customWidth="1"/>
    <col min="7" max="7" width="11.375" style="249" customWidth="1"/>
    <col min="8" max="8" width="12.875" style="248" customWidth="1"/>
    <col min="9" max="9" width="12.5" style="248" customWidth="1"/>
    <col min="10" max="10" width="12" style="248" customWidth="1"/>
    <col min="11" max="11" width="13.375" style="248" customWidth="1"/>
    <col min="12" max="12" width="11.875" style="248" customWidth="1"/>
    <col min="13" max="14" width="11.5" style="248" hidden="1" customWidth="1"/>
    <col min="15" max="15" width="13" style="248" hidden="1" customWidth="1"/>
    <col min="16" max="18" width="14.5" style="248" hidden="1" customWidth="1"/>
    <col min="19" max="19" width="11.75" style="248" hidden="1" customWidth="1"/>
    <col min="20" max="20" width="48.375" style="248" hidden="1" customWidth="1"/>
    <col min="21" max="21" width="18" style="248" bestFit="1" customWidth="1"/>
    <col min="22" max="16384" width="9" style="248"/>
  </cols>
  <sheetData>
    <row r="1" spans="1:21" ht="20.100000000000001" customHeight="1">
      <c r="A1" s="329" t="s">
        <v>591</v>
      </c>
      <c r="B1" s="329"/>
      <c r="D1" s="272"/>
    </row>
    <row r="2" spans="1:21" ht="35.1" customHeight="1">
      <c r="A2" s="330" t="s">
        <v>567</v>
      </c>
      <c r="B2" s="330"/>
      <c r="C2" s="330"/>
      <c r="D2" s="330"/>
      <c r="E2" s="330"/>
      <c r="F2" s="330"/>
      <c r="G2" s="330"/>
      <c r="H2" s="330"/>
      <c r="I2" s="330"/>
      <c r="J2" s="330"/>
      <c r="K2" s="330"/>
      <c r="L2" s="330"/>
      <c r="M2" s="330"/>
      <c r="N2" s="330"/>
      <c r="O2" s="330"/>
      <c r="P2" s="330"/>
      <c r="Q2" s="330"/>
      <c r="R2" s="330"/>
      <c r="S2" s="330"/>
    </row>
    <row r="3" spans="1:21" ht="20.100000000000001" customHeight="1">
      <c r="A3" s="331" t="s">
        <v>592</v>
      </c>
      <c r="B3" s="331"/>
      <c r="C3" s="331"/>
      <c r="D3" s="331"/>
      <c r="E3" s="331"/>
      <c r="F3" s="331"/>
      <c r="G3" s="331"/>
      <c r="H3" s="331"/>
      <c r="I3" s="331"/>
      <c r="J3" s="331"/>
      <c r="K3" s="331"/>
      <c r="L3" s="331"/>
      <c r="M3" s="332"/>
      <c r="N3" s="332"/>
      <c r="O3" s="332"/>
      <c r="P3" s="332"/>
      <c r="Q3" s="332"/>
      <c r="R3" s="332"/>
      <c r="S3" s="332"/>
    </row>
    <row r="4" spans="1:21" s="257" customFormat="1" ht="30" customHeight="1">
      <c r="A4" s="271" t="s">
        <v>217</v>
      </c>
      <c r="B4" s="271" t="s">
        <v>218</v>
      </c>
      <c r="C4" s="271" t="s">
        <v>219</v>
      </c>
      <c r="D4" s="271" t="s">
        <v>220</v>
      </c>
      <c r="E4" s="271" t="s">
        <v>221</v>
      </c>
      <c r="F4" s="271" t="s">
        <v>222</v>
      </c>
      <c r="G4" s="271" t="s">
        <v>566</v>
      </c>
      <c r="H4" s="271" t="s">
        <v>223</v>
      </c>
      <c r="I4" s="271" t="s">
        <v>224</v>
      </c>
      <c r="J4" s="271" t="s">
        <v>225</v>
      </c>
      <c r="K4" s="271" t="s">
        <v>565</v>
      </c>
      <c r="L4" s="271" t="s">
        <v>226</v>
      </c>
      <c r="M4" s="270" t="s">
        <v>227</v>
      </c>
      <c r="N4" s="269" t="s">
        <v>228</v>
      </c>
      <c r="O4" s="269" t="s">
        <v>229</v>
      </c>
      <c r="P4" s="269" t="s">
        <v>230</v>
      </c>
      <c r="Q4" s="269" t="s">
        <v>231</v>
      </c>
      <c r="R4" s="269" t="s">
        <v>232</v>
      </c>
      <c r="S4" s="269" t="s">
        <v>233</v>
      </c>
    </row>
    <row r="5" spans="1:21" s="257" customFormat="1" ht="24" hidden="1">
      <c r="A5" s="256" t="s">
        <v>234</v>
      </c>
      <c r="B5" s="255" t="s">
        <v>235</v>
      </c>
      <c r="C5" s="255"/>
      <c r="D5" s="255" t="s">
        <v>236</v>
      </c>
      <c r="E5" s="255" t="s">
        <v>237</v>
      </c>
      <c r="F5" s="255" t="s">
        <v>238</v>
      </c>
      <c r="G5" s="255" t="s">
        <v>239</v>
      </c>
      <c r="H5" s="267"/>
      <c r="I5" s="268"/>
      <c r="J5" s="268"/>
      <c r="K5" s="268"/>
      <c r="L5" s="267">
        <v>0</v>
      </c>
      <c r="M5" s="262"/>
      <c r="N5" s="261"/>
      <c r="O5" s="261"/>
      <c r="P5" s="261"/>
      <c r="Q5" s="261"/>
      <c r="R5" s="260"/>
      <c r="S5" s="259"/>
      <c r="U5" s="266"/>
    </row>
    <row r="6" spans="1:21" s="257" customFormat="1" ht="30" customHeight="1">
      <c r="A6" s="256" t="s">
        <v>234</v>
      </c>
      <c r="B6" s="255" t="s">
        <v>240</v>
      </c>
      <c r="C6" s="255"/>
      <c r="D6" s="255" t="s">
        <v>241</v>
      </c>
      <c r="E6" s="255" t="s">
        <v>237</v>
      </c>
      <c r="F6" s="255" t="s">
        <v>241</v>
      </c>
      <c r="G6" s="255" t="s">
        <v>239</v>
      </c>
      <c r="H6" s="263">
        <v>42305.461099000007</v>
      </c>
      <c r="I6" s="252">
        <v>13167.702558000001</v>
      </c>
      <c r="J6" s="252">
        <v>2124.519346</v>
      </c>
      <c r="K6" s="252">
        <v>979.66705100000001</v>
      </c>
      <c r="L6" s="263">
        <f>H6+I6-J6</f>
        <v>53348.644311000011</v>
      </c>
      <c r="M6" s="262"/>
      <c r="N6" s="261"/>
      <c r="O6" s="261"/>
      <c r="P6" s="261"/>
      <c r="Q6" s="261"/>
      <c r="R6" s="260"/>
      <c r="S6" s="259"/>
    </row>
    <row r="7" spans="1:21" s="257" customFormat="1" ht="24.95" customHeight="1">
      <c r="A7" s="333" t="s">
        <v>564</v>
      </c>
      <c r="B7" s="333"/>
      <c r="C7" s="333"/>
      <c r="D7" s="333"/>
      <c r="E7" s="333"/>
      <c r="F7" s="333"/>
      <c r="G7" s="333"/>
      <c r="H7" s="251">
        <v>42305.461099000007</v>
      </c>
      <c r="I7" s="251">
        <f>I5+I6</f>
        <v>13167.702558000001</v>
      </c>
      <c r="J7" s="251">
        <f>J5+J6</f>
        <v>2124.519346</v>
      </c>
      <c r="K7" s="251">
        <f>K5+K6</f>
        <v>979.66705100000001</v>
      </c>
      <c r="L7" s="251">
        <f>L5+L6</f>
        <v>53348.644311000011</v>
      </c>
      <c r="M7" s="262"/>
      <c r="N7" s="261"/>
      <c r="O7" s="261"/>
      <c r="P7" s="261"/>
      <c r="Q7" s="261"/>
      <c r="R7" s="260"/>
      <c r="S7" s="259"/>
    </row>
    <row r="8" spans="1:21" s="257" customFormat="1" ht="30" hidden="1" customHeight="1">
      <c r="A8" s="256" t="s">
        <v>242</v>
      </c>
      <c r="B8" s="255" t="s">
        <v>243</v>
      </c>
      <c r="C8" s="255"/>
      <c r="D8" s="255" t="s">
        <v>244</v>
      </c>
      <c r="E8" s="255" t="s">
        <v>237</v>
      </c>
      <c r="F8" s="255" t="s">
        <v>245</v>
      </c>
      <c r="G8" s="255" t="s">
        <v>239</v>
      </c>
      <c r="H8" s="263">
        <v>0</v>
      </c>
      <c r="I8" s="263"/>
      <c r="J8" s="263"/>
      <c r="K8" s="263"/>
      <c r="L8" s="263">
        <v>0</v>
      </c>
      <c r="M8" s="262" t="s">
        <v>246</v>
      </c>
      <c r="N8" s="261" t="s">
        <v>247</v>
      </c>
      <c r="O8" s="261" t="s">
        <v>248</v>
      </c>
      <c r="P8" s="261" t="s">
        <v>249</v>
      </c>
      <c r="Q8" s="261" t="s">
        <v>250</v>
      </c>
      <c r="R8" s="260">
        <v>720.20760900000005</v>
      </c>
      <c r="S8" s="259" t="s">
        <v>251</v>
      </c>
    </row>
    <row r="9" spans="1:21" s="257" customFormat="1" ht="30" hidden="1" customHeight="1">
      <c r="A9" s="256" t="s">
        <v>242</v>
      </c>
      <c r="B9" s="255" t="s">
        <v>243</v>
      </c>
      <c r="C9" s="255"/>
      <c r="D9" s="255" t="s">
        <v>252</v>
      </c>
      <c r="E9" s="255" t="s">
        <v>237</v>
      </c>
      <c r="F9" s="255" t="s">
        <v>253</v>
      </c>
      <c r="G9" s="255" t="s">
        <v>239</v>
      </c>
      <c r="H9" s="263">
        <v>0</v>
      </c>
      <c r="I9" s="263"/>
      <c r="J9" s="263"/>
      <c r="K9" s="263"/>
      <c r="L9" s="263">
        <v>0</v>
      </c>
      <c r="M9" s="262" t="s">
        <v>246</v>
      </c>
      <c r="N9" s="261" t="s">
        <v>254</v>
      </c>
      <c r="O9" s="261" t="s">
        <v>248</v>
      </c>
      <c r="P9" s="261" t="s">
        <v>249</v>
      </c>
      <c r="Q9" s="261" t="s">
        <v>252</v>
      </c>
      <c r="R9" s="260">
        <v>1884.5295510000001</v>
      </c>
      <c r="S9" s="259" t="s">
        <v>251</v>
      </c>
    </row>
    <row r="10" spans="1:21" s="257" customFormat="1" ht="30" hidden="1" customHeight="1">
      <c r="A10" s="256" t="s">
        <v>242</v>
      </c>
      <c r="B10" s="255" t="s">
        <v>243</v>
      </c>
      <c r="C10" s="255"/>
      <c r="D10" s="255" t="s">
        <v>255</v>
      </c>
      <c r="E10" s="255" t="s">
        <v>237</v>
      </c>
      <c r="F10" s="255" t="s">
        <v>256</v>
      </c>
      <c r="G10" s="255" t="s">
        <v>239</v>
      </c>
      <c r="H10" s="263">
        <v>0</v>
      </c>
      <c r="I10" s="263"/>
      <c r="J10" s="263"/>
      <c r="K10" s="263"/>
      <c r="L10" s="263">
        <v>0</v>
      </c>
      <c r="M10" s="262" t="s">
        <v>246</v>
      </c>
      <c r="N10" s="261" t="s">
        <v>254</v>
      </c>
      <c r="O10" s="261" t="s">
        <v>248</v>
      </c>
      <c r="P10" s="261" t="s">
        <v>249</v>
      </c>
      <c r="Q10" s="261" t="s">
        <v>257</v>
      </c>
      <c r="R10" s="260">
        <v>1576.499992</v>
      </c>
      <c r="S10" s="259" t="s">
        <v>251</v>
      </c>
    </row>
    <row r="11" spans="1:21" s="257" customFormat="1" ht="30" customHeight="1">
      <c r="A11" s="256" t="s">
        <v>242</v>
      </c>
      <c r="B11" s="255" t="s">
        <v>243</v>
      </c>
      <c r="C11" s="255"/>
      <c r="D11" s="255" t="s">
        <v>258</v>
      </c>
      <c r="E11" s="255" t="s">
        <v>237</v>
      </c>
      <c r="F11" s="255" t="s">
        <v>259</v>
      </c>
      <c r="G11" s="255" t="s">
        <v>239</v>
      </c>
      <c r="H11" s="263">
        <v>300.486401</v>
      </c>
      <c r="I11" s="265"/>
      <c r="J11" s="265">
        <v>0</v>
      </c>
      <c r="K11" s="265"/>
      <c r="L11" s="263">
        <v>300.486401</v>
      </c>
      <c r="M11" s="262" t="s">
        <v>246</v>
      </c>
      <c r="N11" s="261" t="s">
        <v>260</v>
      </c>
      <c r="O11" s="261" t="s">
        <v>248</v>
      </c>
      <c r="P11" s="261" t="s">
        <v>249</v>
      </c>
      <c r="Q11" s="261" t="s">
        <v>255</v>
      </c>
      <c r="R11" s="260">
        <v>1807.6155000000001</v>
      </c>
      <c r="S11" s="259" t="s">
        <v>251</v>
      </c>
    </row>
    <row r="12" spans="1:21" s="257" customFormat="1" ht="30" customHeight="1">
      <c r="A12" s="256" t="s">
        <v>242</v>
      </c>
      <c r="B12" s="255" t="s">
        <v>243</v>
      </c>
      <c r="C12" s="255"/>
      <c r="D12" s="255" t="s">
        <v>261</v>
      </c>
      <c r="E12" s="255" t="s">
        <v>237</v>
      </c>
      <c r="F12" s="255" t="s">
        <v>259</v>
      </c>
      <c r="G12" s="255" t="s">
        <v>239</v>
      </c>
      <c r="H12" s="263">
        <v>197.617527</v>
      </c>
      <c r="I12" s="265"/>
      <c r="J12" s="265">
        <v>0</v>
      </c>
      <c r="K12" s="265"/>
      <c r="L12" s="263">
        <v>197.617527</v>
      </c>
      <c r="M12" s="262" t="s">
        <v>246</v>
      </c>
      <c r="N12" s="261" t="s">
        <v>247</v>
      </c>
      <c r="O12" s="261" t="s">
        <v>248</v>
      </c>
      <c r="P12" s="261" t="s">
        <v>249</v>
      </c>
      <c r="Q12" s="261" t="s">
        <v>258</v>
      </c>
      <c r="R12" s="260">
        <v>700.486401</v>
      </c>
      <c r="S12" s="259" t="s">
        <v>251</v>
      </c>
    </row>
    <row r="13" spans="1:21" s="257" customFormat="1" ht="30" customHeight="1">
      <c r="A13" s="256" t="s">
        <v>262</v>
      </c>
      <c r="B13" s="255" t="s">
        <v>263</v>
      </c>
      <c r="C13" s="255"/>
      <c r="D13" s="255" t="s">
        <v>264</v>
      </c>
      <c r="E13" s="255" t="s">
        <v>265</v>
      </c>
      <c r="F13" s="255" t="s">
        <v>266</v>
      </c>
      <c r="G13" s="255" t="s">
        <v>267</v>
      </c>
      <c r="H13" s="263">
        <v>100.118933</v>
      </c>
      <c r="I13" s="264"/>
      <c r="J13" s="263">
        <v>11.265336</v>
      </c>
      <c r="K13" s="264"/>
      <c r="L13" s="263">
        <f>H13-J13</f>
        <v>88.853596999999993</v>
      </c>
      <c r="M13" s="262" t="s">
        <v>246</v>
      </c>
      <c r="N13" s="261" t="s">
        <v>268</v>
      </c>
      <c r="O13" s="261" t="s">
        <v>248</v>
      </c>
      <c r="P13" s="261" t="s">
        <v>249</v>
      </c>
      <c r="Q13" s="261" t="s">
        <v>261</v>
      </c>
      <c r="R13" s="260">
        <v>349.617527</v>
      </c>
      <c r="S13" s="259" t="s">
        <v>251</v>
      </c>
    </row>
    <row r="14" spans="1:21" s="257" customFormat="1" ht="30" hidden="1" customHeight="1">
      <c r="A14" s="256" t="s">
        <v>262</v>
      </c>
      <c r="B14" s="255" t="s">
        <v>263</v>
      </c>
      <c r="C14" s="255"/>
      <c r="D14" s="255" t="s">
        <v>269</v>
      </c>
      <c r="E14" s="255" t="s">
        <v>237</v>
      </c>
      <c r="F14" s="255" t="s">
        <v>270</v>
      </c>
      <c r="G14" s="255" t="s">
        <v>239</v>
      </c>
      <c r="H14" s="263"/>
      <c r="I14" s="264"/>
      <c r="J14" s="264"/>
      <c r="K14" s="264"/>
      <c r="L14" s="263"/>
      <c r="M14" s="262" t="s">
        <v>246</v>
      </c>
      <c r="N14" s="261" t="s">
        <v>271</v>
      </c>
      <c r="O14" s="261" t="s">
        <v>248</v>
      </c>
      <c r="P14" s="261" t="s">
        <v>249</v>
      </c>
      <c r="Q14" s="261" t="s">
        <v>272</v>
      </c>
      <c r="R14" s="260">
        <v>164.23277300000001</v>
      </c>
      <c r="S14" s="259" t="s">
        <v>273</v>
      </c>
    </row>
    <row r="15" spans="1:21" s="257" customFormat="1" ht="30" customHeight="1">
      <c r="A15" s="256" t="s">
        <v>274</v>
      </c>
      <c r="B15" s="255" t="s">
        <v>275</v>
      </c>
      <c r="C15" s="255"/>
      <c r="D15" s="255" t="s">
        <v>276</v>
      </c>
      <c r="E15" s="255" t="s">
        <v>265</v>
      </c>
      <c r="F15" s="255"/>
      <c r="G15" s="255" t="s">
        <v>267</v>
      </c>
      <c r="H15" s="263">
        <v>50</v>
      </c>
      <c r="I15" s="265"/>
      <c r="J15" s="265"/>
      <c r="K15" s="265"/>
      <c r="L15" s="263">
        <v>50</v>
      </c>
      <c r="M15" s="262" t="s">
        <v>246</v>
      </c>
      <c r="N15" s="261" t="s">
        <v>277</v>
      </c>
      <c r="O15" s="261" t="s">
        <v>248</v>
      </c>
      <c r="P15" s="261" t="s">
        <v>249</v>
      </c>
      <c r="Q15" s="261" t="s">
        <v>278</v>
      </c>
      <c r="R15" s="260">
        <v>567.92366900000002</v>
      </c>
      <c r="S15" s="259" t="s">
        <v>273</v>
      </c>
    </row>
    <row r="16" spans="1:21" s="257" customFormat="1" ht="30" customHeight="1">
      <c r="A16" s="256" t="s">
        <v>274</v>
      </c>
      <c r="B16" s="255" t="s">
        <v>275</v>
      </c>
      <c r="C16" s="255"/>
      <c r="D16" s="255" t="s">
        <v>279</v>
      </c>
      <c r="E16" s="255" t="s">
        <v>237</v>
      </c>
      <c r="F16" s="255" t="s">
        <v>279</v>
      </c>
      <c r="G16" s="255" t="s">
        <v>239</v>
      </c>
      <c r="H16" s="263">
        <v>11.373521999999999</v>
      </c>
      <c r="I16" s="265"/>
      <c r="J16" s="265"/>
      <c r="K16" s="265"/>
      <c r="L16" s="263">
        <v>11.373521999999999</v>
      </c>
      <c r="M16" s="262" t="s">
        <v>280</v>
      </c>
      <c r="N16" s="261" t="s">
        <v>281</v>
      </c>
      <c r="O16" s="261" t="s">
        <v>282</v>
      </c>
      <c r="P16" s="261" t="s">
        <v>283</v>
      </c>
      <c r="Q16" s="261" t="s">
        <v>284</v>
      </c>
      <c r="R16" s="260">
        <v>15</v>
      </c>
      <c r="S16" s="259" t="s">
        <v>273</v>
      </c>
    </row>
    <row r="17" spans="1:20" s="257" customFormat="1" ht="30" customHeight="1">
      <c r="A17" s="256" t="s">
        <v>274</v>
      </c>
      <c r="B17" s="255" t="s">
        <v>275</v>
      </c>
      <c r="C17" s="255"/>
      <c r="D17" s="255" t="s">
        <v>285</v>
      </c>
      <c r="E17" s="255" t="s">
        <v>237</v>
      </c>
      <c r="F17" s="255" t="s">
        <v>286</v>
      </c>
      <c r="G17" s="255" t="s">
        <v>239</v>
      </c>
      <c r="H17" s="263">
        <v>5.7802899999999999</v>
      </c>
      <c r="I17" s="265"/>
      <c r="J17" s="265"/>
      <c r="K17" s="265"/>
      <c r="L17" s="263">
        <v>5.7802899999999999</v>
      </c>
      <c r="M17" s="262" t="s">
        <v>246</v>
      </c>
      <c r="N17" s="261" t="s">
        <v>287</v>
      </c>
      <c r="O17" s="261" t="s">
        <v>248</v>
      </c>
      <c r="P17" s="261" t="s">
        <v>249</v>
      </c>
      <c r="Q17" s="261" t="s">
        <v>288</v>
      </c>
      <c r="R17" s="260">
        <v>1092.0731499999999</v>
      </c>
      <c r="S17" s="259" t="s">
        <v>273</v>
      </c>
    </row>
    <row r="18" spans="1:20" s="257" customFormat="1" ht="30" customHeight="1">
      <c r="A18" s="256" t="s">
        <v>274</v>
      </c>
      <c r="B18" s="255" t="s">
        <v>275</v>
      </c>
      <c r="C18" s="255"/>
      <c r="D18" s="255" t="s">
        <v>289</v>
      </c>
      <c r="E18" s="255" t="s">
        <v>237</v>
      </c>
      <c r="F18" s="255" t="s">
        <v>289</v>
      </c>
      <c r="G18" s="255" t="s">
        <v>239</v>
      </c>
      <c r="H18" s="263">
        <v>101.79</v>
      </c>
      <c r="I18" s="264"/>
      <c r="J18" s="264"/>
      <c r="K18" s="264"/>
      <c r="L18" s="263">
        <f>H18-J18</f>
        <v>101.79</v>
      </c>
      <c r="M18" s="262" t="s">
        <v>246</v>
      </c>
      <c r="N18" s="261" t="s">
        <v>290</v>
      </c>
      <c r="O18" s="261" t="s">
        <v>248</v>
      </c>
      <c r="P18" s="261" t="s">
        <v>249</v>
      </c>
      <c r="Q18" s="261" t="s">
        <v>291</v>
      </c>
      <c r="R18" s="260">
        <v>915.67349999999999</v>
      </c>
      <c r="S18" s="259" t="s">
        <v>273</v>
      </c>
    </row>
    <row r="19" spans="1:20" s="257" customFormat="1" ht="30" customHeight="1">
      <c r="A19" s="256" t="s">
        <v>274</v>
      </c>
      <c r="B19" s="255" t="s">
        <v>275</v>
      </c>
      <c r="C19" s="255"/>
      <c r="D19" s="255" t="s">
        <v>292</v>
      </c>
      <c r="E19" s="255" t="s">
        <v>237</v>
      </c>
      <c r="F19" s="255" t="s">
        <v>293</v>
      </c>
      <c r="G19" s="255" t="s">
        <v>239</v>
      </c>
      <c r="H19" s="263">
        <v>36.79</v>
      </c>
      <c r="I19" s="265"/>
      <c r="J19" s="265"/>
      <c r="K19" s="265"/>
      <c r="L19" s="263">
        <v>36.79</v>
      </c>
      <c r="M19" s="262" t="s">
        <v>294</v>
      </c>
      <c r="N19" s="261" t="s">
        <v>295</v>
      </c>
      <c r="O19" s="261" t="s">
        <v>296</v>
      </c>
      <c r="P19" s="261" t="s">
        <v>297</v>
      </c>
      <c r="Q19" s="261" t="s">
        <v>298</v>
      </c>
      <c r="R19" s="260">
        <v>50</v>
      </c>
      <c r="S19" s="259" t="s">
        <v>299</v>
      </c>
    </row>
    <row r="20" spans="1:20" s="257" customFormat="1" ht="30" customHeight="1">
      <c r="A20" s="256" t="s">
        <v>274</v>
      </c>
      <c r="B20" s="255" t="s">
        <v>275</v>
      </c>
      <c r="C20" s="255"/>
      <c r="D20" s="255" t="s">
        <v>300</v>
      </c>
      <c r="E20" s="255" t="s">
        <v>237</v>
      </c>
      <c r="F20" s="255" t="s">
        <v>300</v>
      </c>
      <c r="G20" s="255" t="s">
        <v>239</v>
      </c>
      <c r="H20" s="263">
        <v>0.31</v>
      </c>
      <c r="I20" s="265"/>
      <c r="J20" s="265"/>
      <c r="K20" s="265"/>
      <c r="L20" s="263">
        <v>0.31</v>
      </c>
      <c r="M20" s="262" t="s">
        <v>301</v>
      </c>
      <c r="N20" s="261" t="s">
        <v>302</v>
      </c>
      <c r="O20" s="261" t="s">
        <v>248</v>
      </c>
      <c r="P20" s="261" t="s">
        <v>249</v>
      </c>
      <c r="Q20" s="261" t="s">
        <v>303</v>
      </c>
      <c r="R20" s="260">
        <v>11.373521999999999</v>
      </c>
      <c r="S20" s="259" t="s">
        <v>299</v>
      </c>
    </row>
    <row r="21" spans="1:20" s="257" customFormat="1" ht="30" customHeight="1">
      <c r="A21" s="256" t="s">
        <v>274</v>
      </c>
      <c r="B21" s="255" t="s">
        <v>275</v>
      </c>
      <c r="C21" s="255"/>
      <c r="D21" s="255" t="s">
        <v>304</v>
      </c>
      <c r="E21" s="255" t="s">
        <v>237</v>
      </c>
      <c r="F21" s="255" t="s">
        <v>305</v>
      </c>
      <c r="G21" s="255" t="s">
        <v>239</v>
      </c>
      <c r="H21" s="263">
        <v>13.21021</v>
      </c>
      <c r="I21" s="265"/>
      <c r="J21" s="265"/>
      <c r="K21" s="265"/>
      <c r="L21" s="263">
        <v>13.21021</v>
      </c>
      <c r="M21" s="262" t="s">
        <v>306</v>
      </c>
      <c r="N21" s="261" t="s">
        <v>307</v>
      </c>
      <c r="O21" s="261" t="s">
        <v>248</v>
      </c>
      <c r="P21" s="261" t="s">
        <v>249</v>
      </c>
      <c r="Q21" s="261" t="s">
        <v>308</v>
      </c>
      <c r="R21" s="260">
        <v>7.3020399999999999</v>
      </c>
      <c r="S21" s="259" t="s">
        <v>299</v>
      </c>
      <c r="T21" s="257" t="s">
        <v>563</v>
      </c>
    </row>
    <row r="22" spans="1:20" s="257" customFormat="1" ht="30" customHeight="1">
      <c r="A22" s="256" t="s">
        <v>274</v>
      </c>
      <c r="B22" s="255" t="s">
        <v>275</v>
      </c>
      <c r="C22" s="255"/>
      <c r="D22" s="255" t="s">
        <v>309</v>
      </c>
      <c r="E22" s="255" t="s">
        <v>237</v>
      </c>
      <c r="F22" s="255" t="s">
        <v>310</v>
      </c>
      <c r="G22" s="255" t="s">
        <v>239</v>
      </c>
      <c r="H22" s="263">
        <v>24.91</v>
      </c>
      <c r="I22" s="265"/>
      <c r="J22" s="265"/>
      <c r="K22" s="265"/>
      <c r="L22" s="263">
        <v>24.91</v>
      </c>
      <c r="M22" s="262" t="s">
        <v>311</v>
      </c>
      <c r="N22" s="261" t="s">
        <v>312</v>
      </c>
      <c r="O22" s="261" t="s">
        <v>248</v>
      </c>
      <c r="P22" s="261" t="s">
        <v>249</v>
      </c>
      <c r="Q22" s="261" t="s">
        <v>313</v>
      </c>
      <c r="R22" s="260">
        <v>285.79000000000002</v>
      </c>
      <c r="S22" s="259" t="s">
        <v>299</v>
      </c>
    </row>
    <row r="23" spans="1:20" s="257" customFormat="1" ht="30" customHeight="1">
      <c r="A23" s="256" t="s">
        <v>274</v>
      </c>
      <c r="B23" s="255" t="s">
        <v>275</v>
      </c>
      <c r="C23" s="255"/>
      <c r="D23" s="255" t="s">
        <v>314</v>
      </c>
      <c r="E23" s="255" t="s">
        <v>237</v>
      </c>
      <c r="F23" s="255" t="s">
        <v>314</v>
      </c>
      <c r="G23" s="255" t="s">
        <v>239</v>
      </c>
      <c r="H23" s="263">
        <v>2</v>
      </c>
      <c r="I23" s="265"/>
      <c r="J23" s="265"/>
      <c r="K23" s="265"/>
      <c r="L23" s="263">
        <v>2</v>
      </c>
      <c r="M23" s="262" t="s">
        <v>315</v>
      </c>
      <c r="N23" s="261" t="s">
        <v>316</v>
      </c>
      <c r="O23" s="261" t="s">
        <v>248</v>
      </c>
      <c r="P23" s="261" t="s">
        <v>249</v>
      </c>
      <c r="Q23" s="261" t="s">
        <v>317</v>
      </c>
      <c r="R23" s="260">
        <v>39.79</v>
      </c>
      <c r="S23" s="259" t="s">
        <v>299</v>
      </c>
    </row>
    <row r="24" spans="1:20" s="257" customFormat="1" ht="30" customHeight="1">
      <c r="A24" s="256" t="s">
        <v>318</v>
      </c>
      <c r="B24" s="255" t="s">
        <v>319</v>
      </c>
      <c r="C24" s="255"/>
      <c r="D24" s="255" t="s">
        <v>320</v>
      </c>
      <c r="E24" s="255" t="s">
        <v>237</v>
      </c>
      <c r="F24" s="255" t="s">
        <v>321</v>
      </c>
      <c r="G24" s="255" t="s">
        <v>239</v>
      </c>
      <c r="H24" s="263">
        <v>18.168756999999999</v>
      </c>
      <c r="I24" s="264"/>
      <c r="J24" s="264"/>
      <c r="K24" s="264"/>
      <c r="L24" s="263">
        <f>H24-J24</f>
        <v>18.168756999999999</v>
      </c>
      <c r="M24" s="262" t="s">
        <v>322</v>
      </c>
      <c r="N24" s="261" t="s">
        <v>323</v>
      </c>
      <c r="O24" s="261" t="s">
        <v>248</v>
      </c>
      <c r="P24" s="261" t="s">
        <v>249</v>
      </c>
      <c r="Q24" s="261" t="s">
        <v>324</v>
      </c>
      <c r="R24" s="260">
        <v>4.3099999999999996</v>
      </c>
      <c r="S24" s="259" t="s">
        <v>299</v>
      </c>
    </row>
    <row r="25" spans="1:20" s="257" customFormat="1" ht="30" customHeight="1">
      <c r="A25" s="256" t="s">
        <v>318</v>
      </c>
      <c r="B25" s="255" t="s">
        <v>319</v>
      </c>
      <c r="C25" s="255"/>
      <c r="D25" s="255" t="s">
        <v>325</v>
      </c>
      <c r="E25" s="255" t="s">
        <v>237</v>
      </c>
      <c r="F25" s="255" t="s">
        <v>321</v>
      </c>
      <c r="G25" s="255" t="s">
        <v>239</v>
      </c>
      <c r="H25" s="263">
        <v>39.119999999999997</v>
      </c>
      <c r="I25" s="265"/>
      <c r="J25" s="265"/>
      <c r="K25" s="265"/>
      <c r="L25" s="263">
        <v>39.119999999999997</v>
      </c>
      <c r="M25" s="262" t="s">
        <v>326</v>
      </c>
      <c r="N25" s="261" t="s">
        <v>327</v>
      </c>
      <c r="O25" s="261" t="s">
        <v>282</v>
      </c>
      <c r="P25" s="261" t="s">
        <v>249</v>
      </c>
      <c r="Q25" s="261" t="s">
        <v>328</v>
      </c>
      <c r="R25" s="260">
        <v>13.21021</v>
      </c>
      <c r="S25" s="259" t="s">
        <v>299</v>
      </c>
    </row>
    <row r="26" spans="1:20" s="257" customFormat="1" ht="30" customHeight="1">
      <c r="A26" s="256" t="s">
        <v>318</v>
      </c>
      <c r="B26" s="255" t="s">
        <v>319</v>
      </c>
      <c r="C26" s="255"/>
      <c r="D26" s="255" t="s">
        <v>329</v>
      </c>
      <c r="E26" s="255" t="s">
        <v>237</v>
      </c>
      <c r="F26" s="255" t="s">
        <v>321</v>
      </c>
      <c r="G26" s="255" t="s">
        <v>239</v>
      </c>
      <c r="H26" s="263">
        <v>90</v>
      </c>
      <c r="I26" s="265"/>
      <c r="J26" s="265"/>
      <c r="K26" s="265"/>
      <c r="L26" s="263">
        <v>90</v>
      </c>
      <c r="M26" s="262" t="s">
        <v>330</v>
      </c>
      <c r="N26" s="261" t="s">
        <v>331</v>
      </c>
      <c r="O26" s="261" t="s">
        <v>248</v>
      </c>
      <c r="P26" s="261" t="s">
        <v>249</v>
      </c>
      <c r="Q26" s="261" t="s">
        <v>324</v>
      </c>
      <c r="R26" s="260">
        <v>24.91</v>
      </c>
      <c r="S26" s="259" t="s">
        <v>299</v>
      </c>
      <c r="T26" s="257" t="s">
        <v>563</v>
      </c>
    </row>
    <row r="27" spans="1:20" s="257" customFormat="1" ht="30" customHeight="1">
      <c r="A27" s="256" t="s">
        <v>318</v>
      </c>
      <c r="B27" s="255" t="s">
        <v>319</v>
      </c>
      <c r="C27" s="255"/>
      <c r="D27" s="255" t="s">
        <v>332</v>
      </c>
      <c r="E27" s="255" t="s">
        <v>237</v>
      </c>
      <c r="F27" s="255" t="s">
        <v>333</v>
      </c>
      <c r="G27" s="255" t="s">
        <v>239</v>
      </c>
      <c r="H27" s="263">
        <v>130.44999999999999</v>
      </c>
      <c r="I27" s="265"/>
      <c r="J27" s="264"/>
      <c r="K27" s="265"/>
      <c r="L27" s="263">
        <f>H27-J27</f>
        <v>130.44999999999999</v>
      </c>
      <c r="M27" s="262" t="s">
        <v>334</v>
      </c>
      <c r="N27" s="261" t="s">
        <v>335</v>
      </c>
      <c r="O27" s="261" t="s">
        <v>248</v>
      </c>
      <c r="P27" s="261" t="s">
        <v>249</v>
      </c>
      <c r="Q27" s="261" t="s">
        <v>336</v>
      </c>
      <c r="R27" s="260">
        <v>2</v>
      </c>
      <c r="S27" s="259" t="s">
        <v>299</v>
      </c>
    </row>
    <row r="28" spans="1:20" s="257" customFormat="1" ht="30" customHeight="1">
      <c r="A28" s="256" t="s">
        <v>318</v>
      </c>
      <c r="B28" s="255" t="s">
        <v>319</v>
      </c>
      <c r="C28" s="255"/>
      <c r="D28" s="255" t="s">
        <v>337</v>
      </c>
      <c r="E28" s="255" t="s">
        <v>237</v>
      </c>
      <c r="F28" s="255" t="s">
        <v>321</v>
      </c>
      <c r="G28" s="255" t="s">
        <v>239</v>
      </c>
      <c r="H28" s="263">
        <v>3.7</v>
      </c>
      <c r="I28" s="265"/>
      <c r="J28" s="265"/>
      <c r="K28" s="265"/>
      <c r="L28" s="263">
        <v>3.7</v>
      </c>
      <c r="M28" s="262" t="s">
        <v>338</v>
      </c>
      <c r="N28" s="261" t="s">
        <v>339</v>
      </c>
      <c r="O28" s="261" t="s">
        <v>248</v>
      </c>
      <c r="P28" s="261" t="s">
        <v>283</v>
      </c>
      <c r="Q28" s="261" t="s">
        <v>340</v>
      </c>
      <c r="R28" s="260">
        <v>140.88999999999999</v>
      </c>
      <c r="S28" s="259" t="s">
        <v>341</v>
      </c>
      <c r="T28" s="257" t="s">
        <v>563</v>
      </c>
    </row>
    <row r="29" spans="1:20" s="257" customFormat="1" ht="30" customHeight="1">
      <c r="A29" s="256" t="s">
        <v>342</v>
      </c>
      <c r="B29" s="255" t="s">
        <v>343</v>
      </c>
      <c r="C29" s="255"/>
      <c r="D29" s="255" t="s">
        <v>344</v>
      </c>
      <c r="E29" s="255" t="s">
        <v>237</v>
      </c>
      <c r="F29" s="255" t="s">
        <v>344</v>
      </c>
      <c r="G29" s="255" t="s">
        <v>239</v>
      </c>
      <c r="H29" s="263">
        <v>20</v>
      </c>
      <c r="I29" s="265"/>
      <c r="J29" s="265"/>
      <c r="K29" s="265"/>
      <c r="L29" s="263">
        <v>20</v>
      </c>
      <c r="M29" s="262" t="s">
        <v>294</v>
      </c>
      <c r="N29" s="261" t="s">
        <v>339</v>
      </c>
      <c r="O29" s="261" t="s">
        <v>248</v>
      </c>
      <c r="P29" s="261" t="s">
        <v>283</v>
      </c>
      <c r="Q29" s="261" t="s">
        <v>345</v>
      </c>
      <c r="R29" s="260">
        <v>39.119999999999997</v>
      </c>
      <c r="S29" s="259" t="s">
        <v>341</v>
      </c>
      <c r="T29" s="257" t="s">
        <v>563</v>
      </c>
    </row>
    <row r="30" spans="1:20" s="257" customFormat="1" ht="30" customHeight="1">
      <c r="A30" s="256" t="s">
        <v>342</v>
      </c>
      <c r="B30" s="255" t="s">
        <v>343</v>
      </c>
      <c r="C30" s="255"/>
      <c r="D30" s="255" t="s">
        <v>346</v>
      </c>
      <c r="E30" s="255" t="s">
        <v>237</v>
      </c>
      <c r="F30" s="255" t="s">
        <v>346</v>
      </c>
      <c r="G30" s="255" t="s">
        <v>239</v>
      </c>
      <c r="H30" s="263">
        <v>18.5</v>
      </c>
      <c r="I30" s="265"/>
      <c r="J30" s="265"/>
      <c r="K30" s="265"/>
      <c r="L30" s="263">
        <v>18.5</v>
      </c>
      <c r="M30" s="262" t="s">
        <v>347</v>
      </c>
      <c r="N30" s="261" t="s">
        <v>339</v>
      </c>
      <c r="O30" s="261" t="s">
        <v>282</v>
      </c>
      <c r="P30" s="261" t="s">
        <v>283</v>
      </c>
      <c r="Q30" s="261" t="s">
        <v>348</v>
      </c>
      <c r="R30" s="260">
        <v>90</v>
      </c>
      <c r="S30" s="259" t="s">
        <v>341</v>
      </c>
      <c r="T30" s="257" t="s">
        <v>563</v>
      </c>
    </row>
    <row r="31" spans="1:20" s="257" customFormat="1" ht="30" customHeight="1">
      <c r="A31" s="256" t="s">
        <v>342</v>
      </c>
      <c r="B31" s="255" t="s">
        <v>343</v>
      </c>
      <c r="C31" s="255"/>
      <c r="D31" s="255" t="s">
        <v>349</v>
      </c>
      <c r="E31" s="255" t="s">
        <v>237</v>
      </c>
      <c r="F31" s="255" t="s">
        <v>349</v>
      </c>
      <c r="G31" s="255" t="s">
        <v>239</v>
      </c>
      <c r="H31" s="263">
        <v>2.9771999999999998</v>
      </c>
      <c r="I31" s="265"/>
      <c r="J31" s="265"/>
      <c r="K31" s="265"/>
      <c r="L31" s="263">
        <v>2.9771999999999998</v>
      </c>
      <c r="M31" s="262" t="s">
        <v>350</v>
      </c>
      <c r="N31" s="261" t="s">
        <v>351</v>
      </c>
      <c r="O31" s="261" t="s">
        <v>248</v>
      </c>
      <c r="P31" s="261" t="s">
        <v>283</v>
      </c>
      <c r="Q31" s="261" t="s">
        <v>352</v>
      </c>
      <c r="R31" s="260">
        <v>187.45</v>
      </c>
      <c r="S31" s="259" t="s">
        <v>341</v>
      </c>
      <c r="T31" s="257" t="s">
        <v>563</v>
      </c>
    </row>
    <row r="32" spans="1:20" s="257" customFormat="1" ht="30" customHeight="1">
      <c r="A32" s="256" t="s">
        <v>353</v>
      </c>
      <c r="B32" s="255" t="s">
        <v>354</v>
      </c>
      <c r="C32" s="255"/>
      <c r="D32" s="255" t="s">
        <v>355</v>
      </c>
      <c r="E32" s="255" t="s">
        <v>237</v>
      </c>
      <c r="F32" s="255" t="s">
        <v>355</v>
      </c>
      <c r="G32" s="255" t="s">
        <v>239</v>
      </c>
      <c r="H32" s="263">
        <v>776.39</v>
      </c>
      <c r="I32" s="264"/>
      <c r="J32" s="264">
        <v>33</v>
      </c>
      <c r="K32" s="264"/>
      <c r="L32" s="263">
        <f>H32-J32</f>
        <v>743.39</v>
      </c>
      <c r="M32" s="262" t="s">
        <v>356</v>
      </c>
      <c r="N32" s="261" t="s">
        <v>339</v>
      </c>
      <c r="O32" s="261" t="s">
        <v>282</v>
      </c>
      <c r="P32" s="261" t="s">
        <v>283</v>
      </c>
      <c r="Q32" s="261" t="s">
        <v>357</v>
      </c>
      <c r="R32" s="260">
        <v>3.7</v>
      </c>
      <c r="S32" s="259" t="s">
        <v>341</v>
      </c>
    </row>
    <row r="33" spans="1:19" s="257" customFormat="1" ht="30" customHeight="1">
      <c r="A33" s="256" t="s">
        <v>353</v>
      </c>
      <c r="B33" s="255" t="s">
        <v>354</v>
      </c>
      <c r="C33" s="255"/>
      <c r="D33" s="255" t="s">
        <v>358</v>
      </c>
      <c r="E33" s="255" t="s">
        <v>237</v>
      </c>
      <c r="F33" s="255" t="s">
        <v>358</v>
      </c>
      <c r="G33" s="255" t="s">
        <v>239</v>
      </c>
      <c r="H33" s="263">
        <v>31.020000000000003</v>
      </c>
      <c r="I33" s="264"/>
      <c r="J33" s="264">
        <v>4</v>
      </c>
      <c r="K33" s="264"/>
      <c r="L33" s="263">
        <f>H33-J33</f>
        <v>27.020000000000003</v>
      </c>
      <c r="M33" s="262" t="s">
        <v>338</v>
      </c>
      <c r="N33" s="261" t="s">
        <v>359</v>
      </c>
      <c r="O33" s="261" t="s">
        <v>296</v>
      </c>
      <c r="P33" s="261" t="s">
        <v>297</v>
      </c>
      <c r="Q33" s="261" t="s">
        <v>360</v>
      </c>
      <c r="R33" s="260">
        <v>20</v>
      </c>
      <c r="S33" s="259" t="s">
        <v>361</v>
      </c>
    </row>
    <row r="34" spans="1:19" s="257" customFormat="1" ht="30" hidden="1" customHeight="1">
      <c r="A34" s="256" t="s">
        <v>353</v>
      </c>
      <c r="B34" s="255" t="s">
        <v>354</v>
      </c>
      <c r="C34" s="255"/>
      <c r="D34" s="255" t="s">
        <v>362</v>
      </c>
      <c r="E34" s="255" t="s">
        <v>265</v>
      </c>
      <c r="F34" s="255" t="s">
        <v>363</v>
      </c>
      <c r="G34" s="255" t="s">
        <v>364</v>
      </c>
      <c r="H34" s="263"/>
      <c r="I34" s="264"/>
      <c r="J34" s="264"/>
      <c r="K34" s="264"/>
      <c r="L34" s="263"/>
      <c r="M34" s="262" t="s">
        <v>338</v>
      </c>
      <c r="N34" s="261" t="s">
        <v>365</v>
      </c>
      <c r="O34" s="261" t="s">
        <v>296</v>
      </c>
      <c r="P34" s="261" t="s">
        <v>297</v>
      </c>
      <c r="Q34" s="261" t="s">
        <v>360</v>
      </c>
      <c r="R34" s="260">
        <v>18.5</v>
      </c>
      <c r="S34" s="259" t="s">
        <v>361</v>
      </c>
    </row>
    <row r="35" spans="1:19" s="257" customFormat="1" ht="30" hidden="1" customHeight="1">
      <c r="A35" s="256" t="s">
        <v>366</v>
      </c>
      <c r="B35" s="255" t="s">
        <v>367</v>
      </c>
      <c r="C35" s="255"/>
      <c r="D35" s="255" t="s">
        <v>368</v>
      </c>
      <c r="E35" s="255" t="s">
        <v>237</v>
      </c>
      <c r="F35" s="255" t="s">
        <v>368</v>
      </c>
      <c r="G35" s="255" t="s">
        <v>239</v>
      </c>
      <c r="H35" s="263"/>
      <c r="I35" s="264"/>
      <c r="J35" s="264"/>
      <c r="K35" s="264"/>
      <c r="L35" s="263"/>
      <c r="M35" s="262" t="s">
        <v>246</v>
      </c>
      <c r="N35" s="261" t="s">
        <v>369</v>
      </c>
      <c r="O35" s="261" t="s">
        <v>282</v>
      </c>
      <c r="P35" s="261" t="s">
        <v>249</v>
      </c>
      <c r="Q35" s="261" t="s">
        <v>370</v>
      </c>
      <c r="R35" s="260">
        <v>8.09</v>
      </c>
      <c r="S35" s="259" t="s">
        <v>361</v>
      </c>
    </row>
    <row r="36" spans="1:19" s="257" customFormat="1" ht="30" hidden="1" customHeight="1">
      <c r="A36" s="256" t="s">
        <v>366</v>
      </c>
      <c r="B36" s="255" t="s">
        <v>367</v>
      </c>
      <c r="C36" s="255"/>
      <c r="D36" s="255" t="s">
        <v>371</v>
      </c>
      <c r="E36" s="255" t="s">
        <v>237</v>
      </c>
      <c r="F36" s="255" t="s">
        <v>363</v>
      </c>
      <c r="G36" s="255" t="s">
        <v>239</v>
      </c>
      <c r="H36" s="263"/>
      <c r="I36" s="264"/>
      <c r="J36" s="264"/>
      <c r="K36" s="264"/>
      <c r="L36" s="263"/>
      <c r="M36" s="262" t="s">
        <v>246</v>
      </c>
      <c r="N36" s="261" t="s">
        <v>372</v>
      </c>
      <c r="O36" s="261" t="s">
        <v>248</v>
      </c>
      <c r="P36" s="261" t="s">
        <v>249</v>
      </c>
      <c r="Q36" s="261" t="s">
        <v>373</v>
      </c>
      <c r="R36" s="260">
        <v>3512.3720870000002</v>
      </c>
      <c r="S36" s="259" t="s">
        <v>374</v>
      </c>
    </row>
    <row r="37" spans="1:19" s="257" customFormat="1" ht="30" hidden="1" customHeight="1">
      <c r="A37" s="256" t="s">
        <v>366</v>
      </c>
      <c r="B37" s="255" t="s">
        <v>367</v>
      </c>
      <c r="C37" s="255"/>
      <c r="D37" s="255" t="s">
        <v>375</v>
      </c>
      <c r="E37" s="255" t="s">
        <v>237</v>
      </c>
      <c r="F37" s="255" t="s">
        <v>375</v>
      </c>
      <c r="G37" s="255" t="s">
        <v>239</v>
      </c>
      <c r="H37" s="263">
        <v>0</v>
      </c>
      <c r="I37" s="265"/>
      <c r="J37" s="265"/>
      <c r="K37" s="265"/>
      <c r="L37" s="263">
        <f>H37-J37</f>
        <v>0</v>
      </c>
      <c r="M37" s="262" t="s">
        <v>246</v>
      </c>
      <c r="N37" s="261" t="s">
        <v>376</v>
      </c>
      <c r="O37" s="261" t="s">
        <v>248</v>
      </c>
      <c r="P37" s="261" t="s">
        <v>249</v>
      </c>
      <c r="Q37" s="261" t="s">
        <v>377</v>
      </c>
      <c r="R37" s="260">
        <v>657.47</v>
      </c>
      <c r="S37" s="259" t="s">
        <v>374</v>
      </c>
    </row>
    <row r="38" spans="1:19" s="257" customFormat="1" ht="30" customHeight="1">
      <c r="A38" s="256" t="s">
        <v>366</v>
      </c>
      <c r="B38" s="255" t="s">
        <v>367</v>
      </c>
      <c r="C38" s="255"/>
      <c r="D38" s="255" t="s">
        <v>378</v>
      </c>
      <c r="E38" s="255" t="s">
        <v>237</v>
      </c>
      <c r="F38" s="255" t="s">
        <v>379</v>
      </c>
      <c r="G38" s="255" t="s">
        <v>239</v>
      </c>
      <c r="H38" s="263">
        <v>2.2799999999999998</v>
      </c>
      <c r="I38" s="265"/>
      <c r="J38" s="265"/>
      <c r="K38" s="265"/>
      <c r="L38" s="263">
        <v>2.2799999999999998</v>
      </c>
      <c r="M38" s="262" t="s">
        <v>246</v>
      </c>
      <c r="N38" s="261" t="s">
        <v>376</v>
      </c>
      <c r="O38" s="261" t="s">
        <v>248</v>
      </c>
      <c r="P38" s="261" t="s">
        <v>249</v>
      </c>
      <c r="Q38" s="261" t="s">
        <v>380</v>
      </c>
      <c r="R38" s="260">
        <v>5395.9740000000002</v>
      </c>
      <c r="S38" s="259" t="s">
        <v>374</v>
      </c>
    </row>
    <row r="39" spans="1:19" s="257" customFormat="1" ht="30" customHeight="1">
      <c r="A39" s="256" t="s">
        <v>366</v>
      </c>
      <c r="B39" s="255" t="s">
        <v>367</v>
      </c>
      <c r="C39" s="255"/>
      <c r="D39" s="255" t="s">
        <v>381</v>
      </c>
      <c r="E39" s="255" t="s">
        <v>237</v>
      </c>
      <c r="F39" s="255" t="s">
        <v>381</v>
      </c>
      <c r="G39" s="255" t="s">
        <v>239</v>
      </c>
      <c r="H39" s="263">
        <v>355.6</v>
      </c>
      <c r="I39" s="265"/>
      <c r="J39" s="265"/>
      <c r="K39" s="265"/>
      <c r="L39" s="263">
        <v>355.6</v>
      </c>
      <c r="M39" s="262" t="s">
        <v>246</v>
      </c>
      <c r="N39" s="261" t="s">
        <v>382</v>
      </c>
      <c r="O39" s="261" t="s">
        <v>248</v>
      </c>
      <c r="P39" s="261" t="s">
        <v>249</v>
      </c>
      <c r="Q39" s="261" t="s">
        <v>380</v>
      </c>
      <c r="R39" s="260">
        <v>635.56479899999999</v>
      </c>
      <c r="S39" s="259" t="s">
        <v>374</v>
      </c>
    </row>
    <row r="40" spans="1:19" s="257" customFormat="1" ht="30" customHeight="1">
      <c r="A40" s="256" t="s">
        <v>366</v>
      </c>
      <c r="B40" s="255" t="s">
        <v>367</v>
      </c>
      <c r="C40" s="255"/>
      <c r="D40" s="255" t="s">
        <v>383</v>
      </c>
      <c r="E40" s="255" t="s">
        <v>237</v>
      </c>
      <c r="F40" s="255" t="s">
        <v>379</v>
      </c>
      <c r="G40" s="255" t="s">
        <v>239</v>
      </c>
      <c r="H40" s="263">
        <v>8.19</v>
      </c>
      <c r="I40" s="265"/>
      <c r="J40" s="265"/>
      <c r="K40" s="265"/>
      <c r="L40" s="263">
        <v>8.19</v>
      </c>
      <c r="M40" s="262" t="s">
        <v>246</v>
      </c>
      <c r="N40" s="261" t="s">
        <v>384</v>
      </c>
      <c r="O40" s="261" t="s">
        <v>248</v>
      </c>
      <c r="P40" s="261" t="s">
        <v>249</v>
      </c>
      <c r="Q40" s="261" t="s">
        <v>385</v>
      </c>
      <c r="R40" s="260">
        <v>24.91</v>
      </c>
      <c r="S40" s="259" t="s">
        <v>386</v>
      </c>
    </row>
    <row r="41" spans="1:19" s="257" customFormat="1" ht="30" customHeight="1">
      <c r="A41" s="256" t="s">
        <v>366</v>
      </c>
      <c r="B41" s="255" t="s">
        <v>367</v>
      </c>
      <c r="C41" s="255"/>
      <c r="D41" s="255" t="s">
        <v>387</v>
      </c>
      <c r="E41" s="255" t="s">
        <v>237</v>
      </c>
      <c r="F41" s="255" t="s">
        <v>379</v>
      </c>
      <c r="G41" s="255" t="s">
        <v>239</v>
      </c>
      <c r="H41" s="263">
        <v>92.94</v>
      </c>
      <c r="I41" s="265"/>
      <c r="J41" s="265"/>
      <c r="K41" s="265"/>
      <c r="L41" s="263">
        <v>92.94</v>
      </c>
      <c r="M41" s="262" t="s">
        <v>246</v>
      </c>
      <c r="N41" s="261" t="s">
        <v>388</v>
      </c>
      <c r="O41" s="261" t="s">
        <v>248</v>
      </c>
      <c r="P41" s="261" t="s">
        <v>249</v>
      </c>
      <c r="Q41" s="261" t="s">
        <v>389</v>
      </c>
      <c r="R41" s="260">
        <v>109.14</v>
      </c>
      <c r="S41" s="259" t="s">
        <v>386</v>
      </c>
    </row>
    <row r="42" spans="1:19" s="257" customFormat="1" ht="30" customHeight="1">
      <c r="A42" s="256" t="s">
        <v>366</v>
      </c>
      <c r="B42" s="255" t="s">
        <v>367</v>
      </c>
      <c r="C42" s="255"/>
      <c r="D42" s="255" t="s">
        <v>390</v>
      </c>
      <c r="E42" s="255" t="s">
        <v>237</v>
      </c>
      <c r="F42" s="255" t="s">
        <v>379</v>
      </c>
      <c r="G42" s="255" t="s">
        <v>239</v>
      </c>
      <c r="H42" s="263">
        <v>129.69</v>
      </c>
      <c r="I42" s="265"/>
      <c r="J42" s="265"/>
      <c r="K42" s="265"/>
      <c r="L42" s="263">
        <v>129.69</v>
      </c>
      <c r="M42" s="262" t="s">
        <v>246</v>
      </c>
      <c r="N42" s="261" t="s">
        <v>391</v>
      </c>
      <c r="O42" s="261" t="s">
        <v>248</v>
      </c>
      <c r="P42" s="261" t="s">
        <v>249</v>
      </c>
      <c r="Q42" s="261" t="s">
        <v>392</v>
      </c>
      <c r="R42" s="260">
        <v>62.8</v>
      </c>
      <c r="S42" s="259" t="s">
        <v>386</v>
      </c>
    </row>
    <row r="43" spans="1:19" s="257" customFormat="1" ht="30" customHeight="1">
      <c r="A43" s="256" t="s">
        <v>366</v>
      </c>
      <c r="B43" s="255" t="s">
        <v>367</v>
      </c>
      <c r="C43" s="255"/>
      <c r="D43" s="255" t="s">
        <v>393</v>
      </c>
      <c r="E43" s="255" t="s">
        <v>237</v>
      </c>
      <c r="F43" s="255" t="s">
        <v>379</v>
      </c>
      <c r="G43" s="255" t="s">
        <v>239</v>
      </c>
      <c r="H43" s="263">
        <v>14.08</v>
      </c>
      <c r="I43" s="265"/>
      <c r="J43" s="265"/>
      <c r="K43" s="265"/>
      <c r="L43" s="263">
        <v>14.08</v>
      </c>
      <c r="M43" s="262" t="s">
        <v>246</v>
      </c>
      <c r="N43" s="261" t="s">
        <v>394</v>
      </c>
      <c r="O43" s="261" t="s">
        <v>248</v>
      </c>
      <c r="P43" s="261" t="s">
        <v>249</v>
      </c>
      <c r="Q43" s="261" t="s">
        <v>395</v>
      </c>
      <c r="R43" s="260">
        <v>2.2799999999999998</v>
      </c>
      <c r="S43" s="259" t="s">
        <v>386</v>
      </c>
    </row>
    <row r="44" spans="1:19" s="257" customFormat="1" ht="30" customHeight="1">
      <c r="A44" s="256" t="s">
        <v>366</v>
      </c>
      <c r="B44" s="255" t="s">
        <v>367</v>
      </c>
      <c r="C44" s="255"/>
      <c r="D44" s="255" t="s">
        <v>396</v>
      </c>
      <c r="E44" s="255" t="s">
        <v>237</v>
      </c>
      <c r="F44" s="255" t="s">
        <v>379</v>
      </c>
      <c r="G44" s="255" t="s">
        <v>239</v>
      </c>
      <c r="H44" s="263">
        <v>53.23</v>
      </c>
      <c r="I44" s="265"/>
      <c r="J44" s="265"/>
      <c r="K44" s="265"/>
      <c r="L44" s="263">
        <v>53.23</v>
      </c>
      <c r="M44" s="262" t="s">
        <v>246</v>
      </c>
      <c r="N44" s="261" t="s">
        <v>397</v>
      </c>
      <c r="O44" s="261" t="s">
        <v>248</v>
      </c>
      <c r="P44" s="261" t="s">
        <v>249</v>
      </c>
      <c r="Q44" s="261" t="s">
        <v>398</v>
      </c>
      <c r="R44" s="260">
        <v>355.6</v>
      </c>
      <c r="S44" s="259" t="s">
        <v>386</v>
      </c>
    </row>
    <row r="45" spans="1:19" s="257" customFormat="1" ht="30" customHeight="1">
      <c r="A45" s="256" t="s">
        <v>366</v>
      </c>
      <c r="B45" s="255" t="s">
        <v>367</v>
      </c>
      <c r="C45" s="255"/>
      <c r="D45" s="255" t="s">
        <v>393</v>
      </c>
      <c r="E45" s="255" t="s">
        <v>237</v>
      </c>
      <c r="F45" s="255" t="s">
        <v>379</v>
      </c>
      <c r="G45" s="255" t="s">
        <v>239</v>
      </c>
      <c r="H45" s="263">
        <v>19.100000000000001</v>
      </c>
      <c r="I45" s="265"/>
      <c r="J45" s="265"/>
      <c r="K45" s="265"/>
      <c r="L45" s="263">
        <v>19.100000000000001</v>
      </c>
      <c r="M45" s="262" t="s">
        <v>246</v>
      </c>
      <c r="N45" s="261" t="s">
        <v>394</v>
      </c>
      <c r="O45" s="261" t="s">
        <v>248</v>
      </c>
      <c r="P45" s="261" t="s">
        <v>249</v>
      </c>
      <c r="Q45" s="261" t="s">
        <v>399</v>
      </c>
      <c r="R45" s="260">
        <v>8.19</v>
      </c>
      <c r="S45" s="259" t="s">
        <v>386</v>
      </c>
    </row>
    <row r="46" spans="1:19" s="257" customFormat="1" ht="30" customHeight="1">
      <c r="A46" s="256" t="s">
        <v>366</v>
      </c>
      <c r="B46" s="255" t="s">
        <v>367</v>
      </c>
      <c r="C46" s="255"/>
      <c r="D46" s="255" t="s">
        <v>400</v>
      </c>
      <c r="E46" s="255" t="s">
        <v>237</v>
      </c>
      <c r="F46" s="255" t="s">
        <v>400</v>
      </c>
      <c r="G46" s="255" t="s">
        <v>239</v>
      </c>
      <c r="H46" s="263">
        <v>53.72</v>
      </c>
      <c r="I46" s="265"/>
      <c r="J46" s="265"/>
      <c r="K46" s="265"/>
      <c r="L46" s="263">
        <v>53.72</v>
      </c>
      <c r="M46" s="262" t="s">
        <v>246</v>
      </c>
      <c r="N46" s="261" t="s">
        <v>394</v>
      </c>
      <c r="O46" s="261" t="s">
        <v>248</v>
      </c>
      <c r="P46" s="261" t="s">
        <v>249</v>
      </c>
      <c r="Q46" s="261" t="s">
        <v>401</v>
      </c>
      <c r="R46" s="260">
        <v>92.94</v>
      </c>
      <c r="S46" s="259" t="s">
        <v>386</v>
      </c>
    </row>
    <row r="47" spans="1:19" s="257" customFormat="1" ht="30" customHeight="1">
      <c r="A47" s="256" t="s">
        <v>366</v>
      </c>
      <c r="B47" s="255" t="s">
        <v>367</v>
      </c>
      <c r="C47" s="255"/>
      <c r="D47" s="255" t="s">
        <v>402</v>
      </c>
      <c r="E47" s="255" t="s">
        <v>237</v>
      </c>
      <c r="F47" s="255" t="s">
        <v>403</v>
      </c>
      <c r="G47" s="255" t="s">
        <v>239</v>
      </c>
      <c r="H47" s="263">
        <v>17.41</v>
      </c>
      <c r="I47" s="265"/>
      <c r="J47" s="265"/>
      <c r="K47" s="265"/>
      <c r="L47" s="263">
        <v>17.41</v>
      </c>
      <c r="M47" s="262" t="s">
        <v>246</v>
      </c>
      <c r="N47" s="261" t="s">
        <v>394</v>
      </c>
      <c r="O47" s="261" t="s">
        <v>248</v>
      </c>
      <c r="P47" s="261" t="s">
        <v>249</v>
      </c>
      <c r="Q47" s="261" t="s">
        <v>404</v>
      </c>
      <c r="R47" s="260">
        <v>129.69</v>
      </c>
      <c r="S47" s="259" t="s">
        <v>386</v>
      </c>
    </row>
    <row r="48" spans="1:19" s="257" customFormat="1" ht="30" customHeight="1">
      <c r="A48" s="256" t="s">
        <v>366</v>
      </c>
      <c r="B48" s="255" t="s">
        <v>367</v>
      </c>
      <c r="C48" s="255"/>
      <c r="D48" s="255" t="s">
        <v>405</v>
      </c>
      <c r="E48" s="255" t="s">
        <v>265</v>
      </c>
      <c r="F48" s="255" t="s">
        <v>405</v>
      </c>
      <c r="G48" s="255" t="s">
        <v>267</v>
      </c>
      <c r="H48" s="263">
        <v>79.680000000000007</v>
      </c>
      <c r="I48" s="265"/>
      <c r="J48" s="265"/>
      <c r="K48" s="265"/>
      <c r="L48" s="263">
        <v>79.680000000000007</v>
      </c>
      <c r="M48" s="262" t="s">
        <v>246</v>
      </c>
      <c r="N48" s="261" t="s">
        <v>394</v>
      </c>
      <c r="O48" s="261" t="s">
        <v>248</v>
      </c>
      <c r="P48" s="261" t="s">
        <v>249</v>
      </c>
      <c r="Q48" s="261" t="s">
        <v>406</v>
      </c>
      <c r="R48" s="260">
        <v>14.08</v>
      </c>
      <c r="S48" s="259" t="s">
        <v>386</v>
      </c>
    </row>
    <row r="49" spans="1:21" s="257" customFormat="1" ht="30" customHeight="1">
      <c r="A49" s="256" t="s">
        <v>407</v>
      </c>
      <c r="B49" s="255" t="s">
        <v>408</v>
      </c>
      <c r="C49" s="255"/>
      <c r="D49" s="255" t="s">
        <v>270</v>
      </c>
      <c r="E49" s="255" t="s">
        <v>237</v>
      </c>
      <c r="F49" s="255" t="s">
        <v>270</v>
      </c>
      <c r="G49" s="255" t="s">
        <v>239</v>
      </c>
      <c r="H49" s="263">
        <v>104.52</v>
      </c>
      <c r="I49" s="264"/>
      <c r="J49" s="264"/>
      <c r="K49" s="264"/>
      <c r="L49" s="263">
        <v>104.52</v>
      </c>
      <c r="M49" s="262" t="s">
        <v>246</v>
      </c>
      <c r="N49" s="261" t="s">
        <v>394</v>
      </c>
      <c r="O49" s="261" t="s">
        <v>248</v>
      </c>
      <c r="P49" s="261" t="s">
        <v>249</v>
      </c>
      <c r="Q49" s="261" t="s">
        <v>409</v>
      </c>
      <c r="R49" s="260">
        <v>53.23</v>
      </c>
      <c r="S49" s="259" t="s">
        <v>386</v>
      </c>
    </row>
    <row r="50" spans="1:21" s="257" customFormat="1" ht="30" customHeight="1">
      <c r="A50" s="256" t="s">
        <v>407</v>
      </c>
      <c r="B50" s="255" t="s">
        <v>408</v>
      </c>
      <c r="C50" s="255"/>
      <c r="D50" s="255" t="s">
        <v>410</v>
      </c>
      <c r="E50" s="255" t="s">
        <v>265</v>
      </c>
      <c r="F50" s="255" t="s">
        <v>410</v>
      </c>
      <c r="G50" s="255" t="s">
        <v>364</v>
      </c>
      <c r="H50" s="263">
        <v>50</v>
      </c>
      <c r="I50" s="265"/>
      <c r="J50" s="265"/>
      <c r="K50" s="265"/>
      <c r="L50" s="263">
        <v>50</v>
      </c>
      <c r="M50" s="262" t="s">
        <v>246</v>
      </c>
      <c r="N50" s="261" t="s">
        <v>394</v>
      </c>
      <c r="O50" s="261" t="s">
        <v>248</v>
      </c>
      <c r="P50" s="261" t="s">
        <v>249</v>
      </c>
      <c r="Q50" s="261" t="s">
        <v>411</v>
      </c>
      <c r="R50" s="260">
        <v>19.100000000000001</v>
      </c>
      <c r="S50" s="259" t="s">
        <v>386</v>
      </c>
    </row>
    <row r="51" spans="1:21" s="257" customFormat="1" ht="30" customHeight="1">
      <c r="A51" s="256" t="s">
        <v>412</v>
      </c>
      <c r="B51" s="255" t="s">
        <v>413</v>
      </c>
      <c r="C51" s="255"/>
      <c r="D51" s="255" t="s">
        <v>414</v>
      </c>
      <c r="E51" s="255" t="s">
        <v>237</v>
      </c>
      <c r="F51" s="255" t="s">
        <v>414</v>
      </c>
      <c r="G51" s="255" t="s">
        <v>239</v>
      </c>
      <c r="H51" s="263">
        <v>52.023699999999998</v>
      </c>
      <c r="I51" s="265"/>
      <c r="J51" s="265"/>
      <c r="K51" s="265"/>
      <c r="L51" s="263">
        <v>52.023699999999998</v>
      </c>
      <c r="M51" s="262" t="s">
        <v>246</v>
      </c>
      <c r="N51" s="261" t="s">
        <v>415</v>
      </c>
      <c r="O51" s="261" t="s">
        <v>248</v>
      </c>
      <c r="P51" s="261" t="s">
        <v>283</v>
      </c>
      <c r="Q51" s="261" t="s">
        <v>416</v>
      </c>
      <c r="R51" s="260">
        <v>53.72</v>
      </c>
      <c r="S51" s="259" t="s">
        <v>386</v>
      </c>
    </row>
    <row r="52" spans="1:21" s="257" customFormat="1" ht="24.95" hidden="1" customHeight="1">
      <c r="A52" s="256" t="s">
        <v>417</v>
      </c>
      <c r="B52" s="255" t="s">
        <v>418</v>
      </c>
      <c r="C52" s="255"/>
      <c r="D52" s="255" t="s">
        <v>419</v>
      </c>
      <c r="E52" s="255" t="s">
        <v>237</v>
      </c>
      <c r="F52" s="255" t="s">
        <v>420</v>
      </c>
      <c r="G52" s="255" t="s">
        <v>239</v>
      </c>
      <c r="H52" s="263"/>
      <c r="I52" s="264"/>
      <c r="J52" s="264"/>
      <c r="K52" s="265"/>
      <c r="L52" s="263"/>
      <c r="M52" s="262" t="s">
        <v>246</v>
      </c>
      <c r="N52" s="261" t="s">
        <v>421</v>
      </c>
      <c r="O52" s="261" t="s">
        <v>248</v>
      </c>
      <c r="P52" s="261" t="s">
        <v>283</v>
      </c>
      <c r="Q52" s="261" t="s">
        <v>422</v>
      </c>
      <c r="R52" s="260">
        <v>17.41</v>
      </c>
      <c r="S52" s="259" t="s">
        <v>386</v>
      </c>
    </row>
    <row r="53" spans="1:21" s="257" customFormat="1" ht="24.95" hidden="1" customHeight="1">
      <c r="A53" s="256" t="s">
        <v>423</v>
      </c>
      <c r="B53" s="255" t="s">
        <v>424</v>
      </c>
      <c r="C53" s="255"/>
      <c r="D53" s="255" t="s">
        <v>425</v>
      </c>
      <c r="E53" s="255" t="s">
        <v>237</v>
      </c>
      <c r="F53" s="255" t="s">
        <v>426</v>
      </c>
      <c r="G53" s="255" t="s">
        <v>239</v>
      </c>
      <c r="H53" s="263"/>
      <c r="I53" s="264"/>
      <c r="J53" s="264"/>
      <c r="K53" s="264"/>
      <c r="L53" s="263"/>
      <c r="M53" s="262" t="s">
        <v>246</v>
      </c>
      <c r="N53" s="261" t="s">
        <v>388</v>
      </c>
      <c r="O53" s="261" t="s">
        <v>248</v>
      </c>
      <c r="P53" s="261" t="s">
        <v>283</v>
      </c>
      <c r="Q53" s="261" t="s">
        <v>427</v>
      </c>
      <c r="R53" s="260">
        <v>79.680000000000007</v>
      </c>
      <c r="S53" s="259" t="s">
        <v>386</v>
      </c>
    </row>
    <row r="54" spans="1:21" s="257" customFormat="1" ht="24.95" hidden="1" customHeight="1">
      <c r="A54" s="256" t="s">
        <v>423</v>
      </c>
      <c r="B54" s="255" t="s">
        <v>424</v>
      </c>
      <c r="C54" s="255"/>
      <c r="D54" s="255" t="s">
        <v>428</v>
      </c>
      <c r="E54" s="255" t="s">
        <v>237</v>
      </c>
      <c r="F54" s="255" t="s">
        <v>429</v>
      </c>
      <c r="G54" s="255" t="s">
        <v>239</v>
      </c>
      <c r="H54" s="263"/>
      <c r="I54" s="264"/>
      <c r="J54" s="264"/>
      <c r="K54" s="264"/>
      <c r="L54" s="263"/>
      <c r="M54" s="262" t="s">
        <v>430</v>
      </c>
      <c r="N54" s="261" t="s">
        <v>431</v>
      </c>
      <c r="O54" s="261" t="s">
        <v>248</v>
      </c>
      <c r="P54" s="261" t="s">
        <v>249</v>
      </c>
      <c r="Q54" s="261" t="s">
        <v>432</v>
      </c>
      <c r="R54" s="260">
        <v>689.93</v>
      </c>
      <c r="S54" s="259" t="s">
        <v>433</v>
      </c>
    </row>
    <row r="55" spans="1:21" ht="24.95" customHeight="1">
      <c r="A55" s="333" t="s">
        <v>562</v>
      </c>
      <c r="B55" s="333"/>
      <c r="C55" s="333"/>
      <c r="D55" s="333"/>
      <c r="E55" s="333"/>
      <c r="F55" s="333"/>
      <c r="G55" s="333"/>
      <c r="H55" s="251">
        <v>3007.1765399999995</v>
      </c>
      <c r="I55" s="251">
        <f>SUM(I8:I54)</f>
        <v>0</v>
      </c>
      <c r="J55" s="251">
        <f>SUM(J8:J54)</f>
        <v>48.265335999999998</v>
      </c>
      <c r="K55" s="251">
        <f>SUM(K8:K54)</f>
        <v>0</v>
      </c>
      <c r="L55" s="251">
        <f>SUM(L8:L54)</f>
        <v>2958.9112039999995</v>
      </c>
      <c r="T55" s="258" t="s">
        <v>561</v>
      </c>
    </row>
    <row r="56" spans="1:21" ht="30" customHeight="1">
      <c r="A56" s="327" t="s">
        <v>558</v>
      </c>
      <c r="B56" s="327"/>
      <c r="C56" s="255"/>
      <c r="D56" s="255" t="s">
        <v>560</v>
      </c>
      <c r="E56" s="256" t="s">
        <v>237</v>
      </c>
      <c r="F56" s="255"/>
      <c r="G56" s="255" t="s">
        <v>239</v>
      </c>
      <c r="H56" s="252">
        <v>55391</v>
      </c>
      <c r="I56" s="254">
        <f>10000+3984</f>
        <v>13984</v>
      </c>
      <c r="J56" s="253">
        <f>3984+2231</f>
        <v>6215</v>
      </c>
      <c r="K56" s="253">
        <v>2024.8933</v>
      </c>
      <c r="L56" s="252">
        <f>H56+I56-J56</f>
        <v>63160</v>
      </c>
      <c r="T56" s="257" t="s">
        <v>559</v>
      </c>
    </row>
    <row r="57" spans="1:21" ht="30" customHeight="1">
      <c r="A57" s="327" t="s">
        <v>558</v>
      </c>
      <c r="B57" s="327"/>
      <c r="C57" s="255"/>
      <c r="D57" s="255" t="s">
        <v>557</v>
      </c>
      <c r="E57" s="256" t="s">
        <v>265</v>
      </c>
      <c r="F57" s="255"/>
      <c r="G57" s="255" t="s">
        <v>556</v>
      </c>
      <c r="H57" s="252">
        <v>211133</v>
      </c>
      <c r="I57" s="254">
        <f>110000+12500</f>
        <v>122500</v>
      </c>
      <c r="J57" s="253">
        <f>12500+1510</f>
        <v>14010</v>
      </c>
      <c r="K57" s="253">
        <v>9669.3154400000003</v>
      </c>
      <c r="L57" s="252">
        <f>H57+I57-J57</f>
        <v>319623</v>
      </c>
      <c r="T57" s="248" t="s">
        <v>555</v>
      </c>
    </row>
    <row r="58" spans="1:21" ht="24.95" customHeight="1">
      <c r="A58" s="328" t="s">
        <v>554</v>
      </c>
      <c r="B58" s="328"/>
      <c r="C58" s="328"/>
      <c r="D58" s="328"/>
      <c r="E58" s="328"/>
      <c r="F58" s="328"/>
      <c r="G58" s="328"/>
      <c r="H58" s="251">
        <v>266524</v>
      </c>
      <c r="I58" s="251">
        <f>I56+I57</f>
        <v>136484</v>
      </c>
      <c r="J58" s="251">
        <f>J56+J57</f>
        <v>20225</v>
      </c>
      <c r="K58" s="251">
        <f>K56+K57</f>
        <v>11694.20874</v>
      </c>
      <c r="L58" s="251">
        <f>L56+L57</f>
        <v>382783</v>
      </c>
    </row>
    <row r="59" spans="1:21" ht="24.95" customHeight="1">
      <c r="A59" s="328" t="s">
        <v>553</v>
      </c>
      <c r="B59" s="328"/>
      <c r="C59" s="328"/>
      <c r="D59" s="328"/>
      <c r="E59" s="328"/>
      <c r="F59" s="328"/>
      <c r="G59" s="328"/>
      <c r="H59" s="251">
        <v>311836.63763900002</v>
      </c>
      <c r="I59" s="251">
        <f>I7+I55+I58</f>
        <v>149651.70255799999</v>
      </c>
      <c r="J59" s="251">
        <f>J7+J55+J58</f>
        <v>22397.784682000001</v>
      </c>
      <c r="K59" s="251">
        <f>K7+K55+K58</f>
        <v>12673.875791</v>
      </c>
      <c r="L59" s="251">
        <f>L7+L55+L58</f>
        <v>439090.55551500001</v>
      </c>
      <c r="U59" s="250"/>
    </row>
  </sheetData>
  <mergeCells count="9">
    <mergeCell ref="A57:B57"/>
    <mergeCell ref="A58:G58"/>
    <mergeCell ref="A59:G59"/>
    <mergeCell ref="A1:B1"/>
    <mergeCell ref="A2:S2"/>
    <mergeCell ref="A3:S3"/>
    <mergeCell ref="A7:G7"/>
    <mergeCell ref="A55:G55"/>
    <mergeCell ref="A56:B56"/>
  </mergeCells>
  <phoneticPr fontId="5" type="noConversion"/>
  <printOptions horizontalCentered="1"/>
  <pageMargins left="0.39370078740157483" right="0.39370078740157483" top="0.47244094488188981" bottom="0.47244094488188981" header="0.31496062992125984" footer="0.19685039370078741"/>
  <pageSetup paperSize="9" scale="91"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9</vt:i4>
      </vt:variant>
    </vt:vector>
  </HeadingPairs>
  <TitlesOfParts>
    <vt:vector size="20" baseType="lpstr">
      <vt:lpstr>一般收支平衡表</vt:lpstr>
      <vt:lpstr>基金收支平衡表</vt:lpstr>
      <vt:lpstr>收入明细表</vt:lpstr>
      <vt:lpstr>支出明细表</vt:lpstr>
      <vt:lpstr>支出分类表</vt:lpstr>
      <vt:lpstr>社会保险基金总表</vt:lpstr>
      <vt:lpstr>城乡居民</vt:lpstr>
      <vt:lpstr>机关事业单位</vt:lpstr>
      <vt:lpstr>债务明细表</vt:lpstr>
      <vt:lpstr>新增债券支出</vt:lpstr>
      <vt:lpstr>往来资金</vt:lpstr>
      <vt:lpstr>基金收支平衡表!Print_Area</vt:lpstr>
      <vt:lpstr>社会保险基金总表!Print_Area</vt:lpstr>
      <vt:lpstr>新增债券支出!Print_Area</vt:lpstr>
      <vt:lpstr>一般收支平衡表!Print_Area</vt:lpstr>
      <vt:lpstr>债务明细表!Print_Area</vt:lpstr>
      <vt:lpstr>支出分类表!Print_Area</vt:lpstr>
      <vt:lpstr>支出明细表!Print_Area</vt:lpstr>
      <vt:lpstr>一般收支平衡表!Print_Titles</vt:lpstr>
      <vt:lpstr>债务明细表!Print_Titles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2021-07-07T01:37:42Z</cp:lastPrinted>
  <dcterms:created xsi:type="dcterms:W3CDTF">2008-09-11T17:22:00Z</dcterms:created>
  <dcterms:modified xsi:type="dcterms:W3CDTF">2021-07-07T01:44:47Z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